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ихаил\Yandex.Disk\Проектный офис\ТАИФ НК\02_Working\актуализация\"/>
    </mc:Choice>
  </mc:AlternateContent>
  <xr:revisionPtr revIDLastSave="0" documentId="13_ncr:1_{55274CC4-1408-4F67-A9B6-09A9146B9462}" xr6:coauthVersionLast="47" xr6:coauthVersionMax="47" xr10:uidLastSave="{00000000-0000-0000-0000-000000000000}"/>
  <bookViews>
    <workbookView xWindow="-120" yWindow="-120" windowWidth="29040" windowHeight="15720" tabRatio="982" activeTab="4" xr2:uid="{E9CE74A8-B141-4BFB-BC60-B3AD742CBF38}"/>
  </bookViews>
  <sheets>
    <sheet name="Свод" sheetId="16" r:id="rId1"/>
    <sheet name="Исходные данные&gt;&gt;" sheetId="19" r:id="rId2"/>
    <sheet name="Исходные данные" sheetId="22" r:id="rId3"/>
    <sheet name="Количество сжигаемого газа" sheetId="31" r:id="rId4"/>
    <sheet name="Расчет эффективности топлива" sheetId="32" r:id="rId5"/>
    <sheet name="Коэффициенты&gt;&gt;" sheetId="20" r:id="rId6"/>
    <sheet name="Природный газ" sheetId="26" r:id="rId7"/>
    <sheet name="Расчетные модели&gt;&gt;" sheetId="21" r:id="rId8"/>
    <sheet name="Расчетная модель" sheetId="2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32" l="1"/>
  <c r="I17" i="32"/>
  <c r="J17" i="32"/>
  <c r="K17" i="32"/>
  <c r="L17" i="32"/>
  <c r="E19" i="32"/>
  <c r="F19" i="32"/>
  <c r="D19" i="32"/>
  <c r="P84" i="26" l="1"/>
  <c r="P65" i="26"/>
  <c r="P46" i="26"/>
  <c r="D28" i="31"/>
  <c r="I12" i="32"/>
  <c r="J12" i="32"/>
  <c r="K12" i="32"/>
  <c r="L12" i="32"/>
  <c r="H12" i="32"/>
  <c r="D14" i="22"/>
  <c r="D12" i="32"/>
  <c r="D25" i="32" s="1"/>
  <c r="E12" i="32"/>
  <c r="E25" i="32" s="1"/>
  <c r="F12" i="32"/>
  <c r="F25" i="32" s="1"/>
  <c r="D26" i="32" l="1"/>
  <c r="B101" i="26"/>
  <c r="F6" i="22"/>
  <c r="F63" i="26" l="1"/>
  <c r="G63" i="26"/>
  <c r="F64" i="26"/>
  <c r="G64" i="26"/>
  <c r="F65" i="26"/>
  <c r="G65" i="26"/>
  <c r="G75" i="26" s="1"/>
  <c r="G76" i="26" s="1"/>
  <c r="F66" i="26"/>
  <c r="F75" i="26" s="1"/>
  <c r="F76" i="26" s="1"/>
  <c r="G66" i="26"/>
  <c r="F67" i="26"/>
  <c r="G67" i="26"/>
  <c r="F68" i="26"/>
  <c r="G68" i="26"/>
  <c r="F69" i="26"/>
  <c r="G69" i="26"/>
  <c r="F70" i="26"/>
  <c r="G70" i="26"/>
  <c r="F71" i="26"/>
  <c r="G71" i="26"/>
  <c r="F72" i="26"/>
  <c r="G72" i="26"/>
  <c r="F73" i="26"/>
  <c r="G73" i="26"/>
  <c r="F74" i="26"/>
  <c r="G74" i="26"/>
  <c r="C75" i="26"/>
  <c r="D75" i="26"/>
  <c r="D76" i="26" s="1"/>
  <c r="E75" i="26"/>
  <c r="E76" i="26" s="1"/>
  <c r="H75" i="26"/>
  <c r="H76" i="26" s="1"/>
  <c r="I75" i="26"/>
  <c r="I76" i="26" s="1"/>
  <c r="J75" i="26"/>
  <c r="K75" i="26"/>
  <c r="P63" i="26" s="1"/>
  <c r="P64" i="26" s="1"/>
  <c r="C76" i="26"/>
  <c r="R61" i="26" s="1"/>
  <c r="F82" i="26"/>
  <c r="F86" i="26" s="1"/>
  <c r="F87" i="26" s="1"/>
  <c r="G82" i="26"/>
  <c r="P82" i="26"/>
  <c r="P83" i="26" s="1"/>
  <c r="F83" i="26"/>
  <c r="G83" i="26"/>
  <c r="F84" i="26"/>
  <c r="G84" i="26"/>
  <c r="F85" i="26"/>
  <c r="G85" i="26"/>
  <c r="G86" i="26" s="1"/>
  <c r="G87" i="26" s="1"/>
  <c r="C86" i="26"/>
  <c r="C87" i="26" s="1"/>
  <c r="D86" i="26"/>
  <c r="D87" i="26" s="1"/>
  <c r="E86" i="26"/>
  <c r="H86" i="26"/>
  <c r="I86" i="26"/>
  <c r="J86" i="26"/>
  <c r="K86" i="26"/>
  <c r="E87" i="26"/>
  <c r="H87" i="26"/>
  <c r="I87" i="26"/>
  <c r="G6" i="29"/>
  <c r="H6" i="29"/>
  <c r="I6" i="29"/>
  <c r="G14" i="22"/>
  <c r="G15" i="22" s="1"/>
  <c r="K18" i="32" s="1"/>
  <c r="K19" i="32" s="1"/>
  <c r="K25" i="32" s="1"/>
  <c r="H14" i="22"/>
  <c r="H15" i="22" s="1"/>
  <c r="L18" i="32" s="1"/>
  <c r="L19" i="32" s="1"/>
  <c r="L25" i="32" s="1"/>
  <c r="F14" i="22"/>
  <c r="F15" i="22" s="1"/>
  <c r="J18" i="32" s="1"/>
  <c r="J19" i="32" s="1"/>
  <c r="J25" i="32" s="1"/>
  <c r="E14" i="22"/>
  <c r="E15" i="22" s="1"/>
  <c r="I18" i="32" s="1"/>
  <c r="I19" i="32" s="1"/>
  <c r="I25" i="32" s="1"/>
  <c r="E6" i="22"/>
  <c r="D6" i="22"/>
  <c r="G6" i="22" s="1"/>
  <c r="J6" i="29" s="1"/>
  <c r="G5" i="22"/>
  <c r="E6" i="29" l="1"/>
  <c r="D6" i="29"/>
  <c r="N6" i="29"/>
  <c r="M6" i="29"/>
  <c r="L6" i="29"/>
  <c r="C6" i="29"/>
  <c r="F6" i="29"/>
  <c r="K6" i="29"/>
  <c r="D15" i="22"/>
  <c r="H18" i="32" s="1"/>
  <c r="H19" i="32" s="1"/>
  <c r="H25" i="32" s="1"/>
  <c r="H26" i="32" s="1"/>
  <c r="D29" i="32" s="1"/>
  <c r="R62" i="26"/>
  <c r="R80" i="26"/>
  <c r="C5" i="29"/>
  <c r="C7" i="29" s="1"/>
  <c r="D5" i="29"/>
  <c r="D7" i="29" l="1"/>
  <c r="R81" i="26"/>
  <c r="K18" i="26"/>
  <c r="P6" i="26" s="1"/>
  <c r="S5" i="31"/>
  <c r="J18" i="26"/>
  <c r="D6" i="16"/>
  <c r="E6" i="16"/>
  <c r="F6" i="16"/>
  <c r="G6" i="16"/>
  <c r="H6" i="16"/>
  <c r="I6" i="16"/>
  <c r="J6" i="16"/>
  <c r="K6" i="16"/>
  <c r="L6" i="16"/>
  <c r="M6" i="16"/>
  <c r="S44" i="31" l="1"/>
  <c r="S35" i="31"/>
  <c r="S36" i="31"/>
  <c r="G30" i="26" l="1"/>
  <c r="F30" i="26"/>
  <c r="G28" i="26"/>
  <c r="F28" i="26"/>
  <c r="G15" i="26"/>
  <c r="F15" i="26"/>
  <c r="S45" i="31" l="1"/>
  <c r="S43" i="31"/>
  <c r="S42" i="31"/>
  <c r="S41" i="31"/>
  <c r="S33" i="31"/>
  <c r="S34" i="31"/>
  <c r="S32" i="31"/>
  <c r="S25" i="31"/>
  <c r="S24" i="31"/>
  <c r="S23" i="31"/>
  <c r="S16" i="31"/>
  <c r="S15" i="31"/>
  <c r="S14" i="31"/>
  <c r="S6" i="31"/>
  <c r="S4" i="31"/>
  <c r="G55" i="26"/>
  <c r="F55" i="26"/>
  <c r="G54" i="26"/>
  <c r="F54" i="26"/>
  <c r="G53" i="26"/>
  <c r="F53" i="26"/>
  <c r="G52" i="26"/>
  <c r="F52" i="26"/>
  <c r="G51" i="26"/>
  <c r="F51" i="26"/>
  <c r="G50" i="26"/>
  <c r="F50" i="26"/>
  <c r="G49" i="26"/>
  <c r="F49" i="26"/>
  <c r="G48" i="26"/>
  <c r="F48" i="26"/>
  <c r="G47" i="26"/>
  <c r="F47" i="26"/>
  <c r="G46" i="26"/>
  <c r="F46" i="26"/>
  <c r="G45" i="26"/>
  <c r="F45" i="26"/>
  <c r="G44" i="26"/>
  <c r="F44" i="26"/>
  <c r="I56" i="26"/>
  <c r="J56" i="26"/>
  <c r="K56" i="26"/>
  <c r="G36" i="26"/>
  <c r="F36" i="26"/>
  <c r="G35" i="26"/>
  <c r="F35" i="26"/>
  <c r="G34" i="26"/>
  <c r="F34" i="26"/>
  <c r="G33" i="26"/>
  <c r="F33" i="26"/>
  <c r="G32" i="26"/>
  <c r="F32" i="26"/>
  <c r="G31" i="26"/>
  <c r="F31" i="26"/>
  <c r="G29" i="26"/>
  <c r="F29" i="26"/>
  <c r="G27" i="26"/>
  <c r="F27" i="26"/>
  <c r="G26" i="26"/>
  <c r="F26" i="26"/>
  <c r="G25" i="26"/>
  <c r="F25" i="26"/>
  <c r="G17" i="26"/>
  <c r="F17" i="26"/>
  <c r="G16" i="26"/>
  <c r="F16" i="26"/>
  <c r="G14" i="26"/>
  <c r="F14" i="26"/>
  <c r="G13" i="26"/>
  <c r="F13" i="26"/>
  <c r="G12" i="26"/>
  <c r="F12" i="26"/>
  <c r="G11" i="26"/>
  <c r="F11" i="26"/>
  <c r="G10" i="26"/>
  <c r="F10" i="26"/>
  <c r="G9" i="26"/>
  <c r="F9" i="26"/>
  <c r="G8" i="26"/>
  <c r="F8" i="26"/>
  <c r="G7" i="26"/>
  <c r="F7" i="26"/>
  <c r="H6" i="26"/>
  <c r="H18" i="26" s="1"/>
  <c r="H19" i="26" s="1"/>
  <c r="G6" i="26"/>
  <c r="F6" i="26"/>
  <c r="P7" i="26"/>
  <c r="P8" i="26" s="1"/>
  <c r="I18" i="26"/>
  <c r="I19" i="26" s="1"/>
  <c r="E18" i="26"/>
  <c r="E19" i="26" s="1"/>
  <c r="D18" i="26"/>
  <c r="D19" i="26" s="1"/>
  <c r="C18" i="26"/>
  <c r="C19" i="26" s="1"/>
  <c r="D27" i="31" l="1"/>
  <c r="D18" i="31"/>
  <c r="E7" i="22" s="1"/>
  <c r="D8" i="31"/>
  <c r="F18" i="26"/>
  <c r="F19" i="26" s="1"/>
  <c r="G18" i="26"/>
  <c r="G19" i="26" s="1"/>
  <c r="F7" i="22" l="1"/>
  <c r="R4" i="26"/>
  <c r="D9" i="31"/>
  <c r="D7" i="22"/>
  <c r="R5" i="26"/>
  <c r="P44" i="26"/>
  <c r="P45" i="26" s="1"/>
  <c r="I57" i="26"/>
  <c r="E56" i="26"/>
  <c r="E57" i="26" s="1"/>
  <c r="D56" i="26"/>
  <c r="D57" i="26" s="1"/>
  <c r="C56" i="26"/>
  <c r="C57" i="26" s="1"/>
  <c r="H56" i="26"/>
  <c r="H57" i="26" s="1"/>
  <c r="K37" i="26"/>
  <c r="J37" i="26"/>
  <c r="I37" i="26"/>
  <c r="I38" i="26" s="1"/>
  <c r="E37" i="26"/>
  <c r="E38" i="26" s="1"/>
  <c r="D37" i="26"/>
  <c r="D38" i="26" s="1"/>
  <c r="C37" i="26"/>
  <c r="C38" i="26" s="1"/>
  <c r="R63" i="26" l="1"/>
  <c r="R82" i="26"/>
  <c r="G7" i="22"/>
  <c r="D8" i="22"/>
  <c r="P25" i="26"/>
  <c r="P26" i="26" s="1"/>
  <c r="P27" i="26" s="1"/>
  <c r="D8" i="29"/>
  <c r="D10" i="29" s="1"/>
  <c r="F8" i="22"/>
  <c r="C8" i="29"/>
  <c r="C10" i="29" s="1"/>
  <c r="R6" i="26"/>
  <c r="F56" i="26"/>
  <c r="F57" i="26" s="1"/>
  <c r="G56" i="26"/>
  <c r="G57" i="26" s="1"/>
  <c r="F37" i="26"/>
  <c r="F38" i="26" s="1"/>
  <c r="G37" i="26"/>
  <c r="G38" i="26" s="1"/>
  <c r="H37" i="26"/>
  <c r="H38" i="26" s="1"/>
  <c r="R23" i="26" l="1"/>
  <c r="R24" i="26"/>
  <c r="D19" i="31"/>
  <c r="R25" i="26"/>
  <c r="R42" i="26"/>
  <c r="B99" i="26" s="1"/>
  <c r="E8" i="22" l="1"/>
  <c r="G8" i="22" s="1"/>
  <c r="R43" i="26"/>
  <c r="B100" i="26" s="1"/>
  <c r="R44" i="26"/>
  <c r="H5" i="29" l="1"/>
  <c r="H7" i="29" s="1"/>
  <c r="K5" i="29"/>
  <c r="K7" i="29" s="1"/>
  <c r="M5" i="29"/>
  <c r="M7" i="29" s="1"/>
  <c r="F5" i="29"/>
  <c r="E5" i="29"/>
  <c r="E7" i="29" s="1"/>
  <c r="G5" i="29"/>
  <c r="G7" i="29" s="1"/>
  <c r="I5" i="29"/>
  <c r="I7" i="29" s="1"/>
  <c r="L5" i="29"/>
  <c r="L7" i="29" s="1"/>
  <c r="J5" i="29"/>
  <c r="N5" i="29"/>
  <c r="G8" i="29"/>
  <c r="H8" i="29"/>
  <c r="H10" i="29" s="1"/>
  <c r="G5" i="16" s="1"/>
  <c r="I8" i="29"/>
  <c r="K8" i="29"/>
  <c r="F8" i="29"/>
  <c r="J8" i="29"/>
  <c r="L8" i="29"/>
  <c r="M8" i="29"/>
  <c r="N8" i="29"/>
  <c r="E8" i="29"/>
  <c r="E10" i="29" s="1"/>
  <c r="D5" i="16" s="1"/>
  <c r="G10" i="29" l="1"/>
  <c r="F5" i="16" s="1"/>
  <c r="J7" i="29"/>
  <c r="M10" i="29"/>
  <c r="L5" i="16" s="1"/>
  <c r="L10" i="29"/>
  <c r="K5" i="16" s="1"/>
  <c r="K8" i="16" s="1"/>
  <c r="N7" i="29"/>
  <c r="N10" i="29" s="1"/>
  <c r="M5" i="16" s="1"/>
  <c r="M8" i="16" s="1"/>
  <c r="J10" i="29"/>
  <c r="I5" i="16" s="1"/>
  <c r="I8" i="16" s="1"/>
  <c r="F7" i="29"/>
  <c r="F10" i="29" s="1"/>
  <c r="E5" i="16" s="1"/>
  <c r="E8" i="16" s="1"/>
  <c r="K10" i="29"/>
  <c r="J5" i="16" s="1"/>
  <c r="J8" i="16" s="1"/>
  <c r="I10" i="29"/>
  <c r="H5" i="16" s="1"/>
  <c r="H8" i="16" s="1"/>
  <c r="D8" i="16"/>
  <c r="F8" i="16"/>
  <c r="L8" i="16"/>
  <c r="G8" i="16"/>
  <c r="D9" i="16" l="1"/>
</calcChain>
</file>

<file path=xl/sharedStrings.xml><?xml version="1.0" encoding="utf-8"?>
<sst xmlns="http://schemas.openxmlformats.org/spreadsheetml/2006/main" count="550" uniqueCount="147">
  <si>
    <t>Источник</t>
  </si>
  <si>
    <t>Выбросы, тСО2</t>
  </si>
  <si>
    <t>Параметр</t>
  </si>
  <si>
    <t>Выбросы в базовой линии</t>
  </si>
  <si>
    <t>Выбросы в проектном сценарии</t>
  </si>
  <si>
    <t>Утечки</t>
  </si>
  <si>
    <t>Сокращение выбросов</t>
  </si>
  <si>
    <t>Единица измерения</t>
  </si>
  <si>
    <t>Базовая линия</t>
  </si>
  <si>
    <t>Проектный сценарий</t>
  </si>
  <si>
    <t>Фактические значения</t>
  </si>
  <si>
    <t>Прогнозные значения</t>
  </si>
  <si>
    <t>Таблица 1. Расчет сокращения выбросов парниковых газов в результате реализации проекта</t>
  </si>
  <si>
    <t>т СО2</t>
  </si>
  <si>
    <t>Переводные коэффициенты</t>
  </si>
  <si>
    <t>Коэффициент выбросов</t>
  </si>
  <si>
    <t>НТС</t>
  </si>
  <si>
    <t>ккал</t>
  </si>
  <si>
    <t>т.у.т.</t>
  </si>
  <si>
    <t>Количество атомов углерода</t>
  </si>
  <si>
    <t>ТДж</t>
  </si>
  <si>
    <t>июль</t>
  </si>
  <si>
    <t>тыс. куб</t>
  </si>
  <si>
    <t>сентябрь</t>
  </si>
  <si>
    <t>октябрь</t>
  </si>
  <si>
    <t>ноябрь</t>
  </si>
  <si>
    <t>декабрь</t>
  </si>
  <si>
    <t>Среднее значение</t>
  </si>
  <si>
    <t>Умножение на n атомов углерода</t>
  </si>
  <si>
    <t>январь</t>
  </si>
  <si>
    <t>февраль</t>
  </si>
  <si>
    <t>март</t>
  </si>
  <si>
    <t>апрель</t>
  </si>
  <si>
    <t>май</t>
  </si>
  <si>
    <t>июнь</t>
  </si>
  <si>
    <t>август</t>
  </si>
  <si>
    <t>Приказ МПР №371</t>
  </si>
  <si>
    <r>
      <t>CH</t>
    </r>
    <r>
      <rPr>
        <vertAlign val="subscript"/>
        <sz val="12"/>
        <color theme="1"/>
        <rFont val="Arial"/>
        <family val="2"/>
        <charset val="204"/>
      </rPr>
      <t>4</t>
    </r>
  </si>
  <si>
    <r>
      <t>C</t>
    </r>
    <r>
      <rPr>
        <vertAlign val="subscript"/>
        <sz val="12"/>
        <color theme="1"/>
        <rFont val="Arial"/>
        <family val="2"/>
        <charset val="204"/>
      </rPr>
      <t>2</t>
    </r>
    <r>
      <rPr>
        <sz val="12"/>
        <color theme="1"/>
        <rFont val="Arial"/>
        <family val="2"/>
        <charset val="204"/>
      </rPr>
      <t>H</t>
    </r>
    <r>
      <rPr>
        <vertAlign val="subscript"/>
        <sz val="12"/>
        <color theme="1"/>
        <rFont val="Arial"/>
        <family val="2"/>
        <charset val="204"/>
      </rPr>
      <t>6</t>
    </r>
  </si>
  <si>
    <r>
      <t>C</t>
    </r>
    <r>
      <rPr>
        <vertAlign val="subscript"/>
        <sz val="12"/>
        <color theme="1"/>
        <rFont val="Arial"/>
        <family val="2"/>
        <charset val="204"/>
      </rPr>
      <t>3</t>
    </r>
    <r>
      <rPr>
        <sz val="12"/>
        <color theme="1"/>
        <rFont val="Arial"/>
        <family val="2"/>
        <charset val="204"/>
      </rPr>
      <t>H</t>
    </r>
    <r>
      <rPr>
        <vertAlign val="subscript"/>
        <sz val="12"/>
        <color theme="1"/>
        <rFont val="Arial"/>
        <family val="2"/>
        <charset val="204"/>
      </rPr>
      <t>8</t>
    </r>
  </si>
  <si>
    <r>
      <t>C</t>
    </r>
    <r>
      <rPr>
        <vertAlign val="subscript"/>
        <sz val="12"/>
        <color theme="1"/>
        <rFont val="Arial"/>
        <family val="2"/>
        <charset val="204"/>
      </rPr>
      <t>4</t>
    </r>
    <r>
      <rPr>
        <sz val="12"/>
        <color theme="1"/>
        <rFont val="Arial"/>
        <family val="2"/>
        <charset val="204"/>
      </rPr>
      <t>H</t>
    </r>
    <r>
      <rPr>
        <vertAlign val="subscript"/>
        <sz val="12"/>
        <color theme="1"/>
        <rFont val="Arial"/>
        <family val="2"/>
        <charset val="204"/>
      </rPr>
      <t>10</t>
    </r>
  </si>
  <si>
    <r>
      <t>C</t>
    </r>
    <r>
      <rPr>
        <vertAlign val="subscript"/>
        <sz val="12"/>
        <color theme="1"/>
        <rFont val="Arial"/>
        <family val="2"/>
        <charset val="204"/>
      </rPr>
      <t>5</t>
    </r>
    <r>
      <rPr>
        <sz val="12"/>
        <color theme="1"/>
        <rFont val="Arial"/>
        <family val="2"/>
        <charset val="204"/>
      </rPr>
      <t>H</t>
    </r>
    <r>
      <rPr>
        <vertAlign val="subscript"/>
        <sz val="12"/>
        <color theme="1"/>
        <rFont val="Arial"/>
        <family val="2"/>
        <charset val="204"/>
      </rPr>
      <t>12</t>
    </r>
  </si>
  <si>
    <r>
      <t>C</t>
    </r>
    <r>
      <rPr>
        <vertAlign val="subscript"/>
        <sz val="12"/>
        <color theme="1"/>
        <rFont val="Arial"/>
        <family val="2"/>
        <charset val="204"/>
      </rPr>
      <t>6</t>
    </r>
    <r>
      <rPr>
        <sz val="12"/>
        <color theme="1"/>
        <rFont val="Arial"/>
        <family val="2"/>
        <charset val="204"/>
      </rPr>
      <t>H</t>
    </r>
    <r>
      <rPr>
        <vertAlign val="subscript"/>
        <sz val="12"/>
        <color theme="1"/>
        <rFont val="Arial"/>
        <family val="2"/>
        <charset val="204"/>
      </rPr>
      <t>14</t>
    </r>
  </si>
  <si>
    <r>
      <t>CO</t>
    </r>
    <r>
      <rPr>
        <vertAlign val="subscript"/>
        <sz val="12"/>
        <color theme="1"/>
        <rFont val="Arial"/>
        <family val="2"/>
        <charset val="204"/>
      </rPr>
      <t>2</t>
    </r>
  </si>
  <si>
    <r>
      <t>т СО</t>
    </r>
    <r>
      <rPr>
        <vertAlign val="subscript"/>
        <sz val="12"/>
        <color theme="1"/>
        <rFont val="Arial"/>
        <family val="2"/>
        <charset val="204"/>
      </rPr>
      <t>2</t>
    </r>
    <r>
      <rPr>
        <sz val="12"/>
        <color theme="1"/>
        <rFont val="Arial"/>
        <family val="2"/>
        <charset val="204"/>
      </rPr>
      <t>/тыс. куб</t>
    </r>
  </si>
  <si>
    <r>
      <t>МДж/м</t>
    </r>
    <r>
      <rPr>
        <vertAlign val="superscript"/>
        <sz val="12"/>
        <color theme="1"/>
        <rFont val="Arial"/>
        <family val="2"/>
        <charset val="204"/>
      </rPr>
      <t>3</t>
    </r>
  </si>
  <si>
    <r>
      <t>ккал/м</t>
    </r>
    <r>
      <rPr>
        <vertAlign val="superscript"/>
        <sz val="12"/>
        <color theme="1"/>
        <rFont val="Arial"/>
        <family val="2"/>
        <charset val="204"/>
      </rPr>
      <t>3</t>
    </r>
  </si>
  <si>
    <r>
      <t>т СО</t>
    </r>
    <r>
      <rPr>
        <vertAlign val="subscript"/>
        <sz val="12"/>
        <color theme="1"/>
        <rFont val="Arial"/>
        <family val="2"/>
        <charset val="204"/>
      </rPr>
      <t>2</t>
    </r>
    <r>
      <rPr>
        <sz val="12"/>
        <color theme="1"/>
        <rFont val="Arial"/>
        <family val="2"/>
        <charset val="204"/>
      </rPr>
      <t>/т.у.т</t>
    </r>
  </si>
  <si>
    <r>
      <t>т СО</t>
    </r>
    <r>
      <rPr>
        <vertAlign val="subscript"/>
        <sz val="12"/>
        <color theme="1"/>
        <rFont val="Arial"/>
        <family val="2"/>
        <charset val="204"/>
      </rPr>
      <t>2</t>
    </r>
    <r>
      <rPr>
        <sz val="12"/>
        <color theme="1"/>
        <rFont val="Arial"/>
        <family val="2"/>
        <charset val="204"/>
      </rPr>
      <t>/ТДж</t>
    </r>
  </si>
  <si>
    <r>
      <t>Плотность СО</t>
    </r>
    <r>
      <rPr>
        <b/>
        <vertAlign val="subscript"/>
        <sz val="12"/>
        <color theme="0"/>
        <rFont val="Arial"/>
        <family val="2"/>
        <charset val="204"/>
      </rPr>
      <t>2</t>
    </r>
    <r>
      <rPr>
        <b/>
        <sz val="12"/>
        <color theme="0"/>
        <rFont val="Arial"/>
        <family val="2"/>
        <charset val="204"/>
      </rPr>
      <t xml:space="preserve"> (кг/м</t>
    </r>
    <r>
      <rPr>
        <b/>
        <vertAlign val="superscript"/>
        <sz val="12"/>
        <color theme="0"/>
        <rFont val="Arial"/>
        <family val="2"/>
        <charset val="204"/>
      </rPr>
      <t>3</t>
    </r>
    <r>
      <rPr>
        <b/>
        <sz val="12"/>
        <color theme="0"/>
        <rFont val="Arial"/>
        <family val="2"/>
        <charset val="204"/>
      </rPr>
      <t>)</t>
    </r>
  </si>
  <si>
    <t>Таблица 1.2 Переводные коэффициенты (2022)</t>
  </si>
  <si>
    <t>Таблица 1.3 Коэффициент выбросов (2022)</t>
  </si>
  <si>
    <t>Таблица 2.2 Переводные коэффициенты (2023)</t>
  </si>
  <si>
    <t>Таблица 2.3 Коэффициент выбросов (2023)</t>
  </si>
  <si>
    <t>Таблица 3.2 Переводные коэффициенты (2024)</t>
  </si>
  <si>
    <t>Таблица 3.3 Коэффициент выбросов (2024)</t>
  </si>
  <si>
    <r>
      <t>CH</t>
    </r>
    <r>
      <rPr>
        <vertAlign val="subscript"/>
        <sz val="12"/>
        <rFont val="Arial"/>
        <family val="2"/>
        <charset val="204"/>
      </rPr>
      <t>4</t>
    </r>
  </si>
  <si>
    <r>
      <t>C</t>
    </r>
    <r>
      <rPr>
        <vertAlign val="subscript"/>
        <sz val="12"/>
        <rFont val="Arial"/>
        <family val="2"/>
        <charset val="204"/>
      </rPr>
      <t>2</t>
    </r>
    <r>
      <rPr>
        <sz val="12"/>
        <rFont val="Arial"/>
        <family val="2"/>
        <charset val="204"/>
      </rPr>
      <t>H</t>
    </r>
    <r>
      <rPr>
        <vertAlign val="subscript"/>
        <sz val="12"/>
        <rFont val="Arial"/>
        <family val="2"/>
        <charset val="204"/>
      </rPr>
      <t>6</t>
    </r>
  </si>
  <si>
    <r>
      <t>C</t>
    </r>
    <r>
      <rPr>
        <vertAlign val="subscript"/>
        <sz val="12"/>
        <rFont val="Arial"/>
        <family val="2"/>
        <charset val="204"/>
      </rPr>
      <t>3</t>
    </r>
    <r>
      <rPr>
        <sz val="12"/>
        <rFont val="Arial"/>
        <family val="2"/>
        <charset val="204"/>
      </rPr>
      <t>H</t>
    </r>
    <r>
      <rPr>
        <vertAlign val="subscript"/>
        <sz val="12"/>
        <rFont val="Arial"/>
        <family val="2"/>
        <charset val="204"/>
      </rPr>
      <t>8</t>
    </r>
  </si>
  <si>
    <r>
      <t>C</t>
    </r>
    <r>
      <rPr>
        <vertAlign val="subscript"/>
        <sz val="12"/>
        <rFont val="Arial"/>
        <family val="2"/>
        <charset val="204"/>
      </rPr>
      <t>4</t>
    </r>
    <r>
      <rPr>
        <sz val="12"/>
        <rFont val="Arial"/>
        <family val="2"/>
        <charset val="204"/>
      </rPr>
      <t>H</t>
    </r>
    <r>
      <rPr>
        <vertAlign val="subscript"/>
        <sz val="12"/>
        <rFont val="Arial"/>
        <family val="2"/>
        <charset val="204"/>
      </rPr>
      <t>10</t>
    </r>
  </si>
  <si>
    <r>
      <t>C</t>
    </r>
    <r>
      <rPr>
        <vertAlign val="subscript"/>
        <sz val="12"/>
        <rFont val="Arial"/>
        <family val="2"/>
        <charset val="204"/>
      </rPr>
      <t>5</t>
    </r>
    <r>
      <rPr>
        <sz val="12"/>
        <rFont val="Arial"/>
        <family val="2"/>
        <charset val="204"/>
      </rPr>
      <t>H</t>
    </r>
    <r>
      <rPr>
        <vertAlign val="subscript"/>
        <sz val="12"/>
        <rFont val="Arial"/>
        <family val="2"/>
        <charset val="204"/>
      </rPr>
      <t>12</t>
    </r>
  </si>
  <si>
    <r>
      <t>C</t>
    </r>
    <r>
      <rPr>
        <vertAlign val="subscript"/>
        <sz val="12"/>
        <rFont val="Arial"/>
        <family val="2"/>
        <charset val="204"/>
      </rPr>
      <t>6</t>
    </r>
    <r>
      <rPr>
        <sz val="12"/>
        <rFont val="Arial"/>
        <family val="2"/>
        <charset val="204"/>
      </rPr>
      <t>H</t>
    </r>
    <r>
      <rPr>
        <vertAlign val="subscript"/>
        <sz val="12"/>
        <rFont val="Arial"/>
        <family val="2"/>
        <charset val="204"/>
      </rPr>
      <t>14</t>
    </r>
  </si>
  <si>
    <r>
      <t>CO</t>
    </r>
    <r>
      <rPr>
        <vertAlign val="subscript"/>
        <sz val="12"/>
        <rFont val="Arial"/>
        <family val="2"/>
        <charset val="204"/>
      </rPr>
      <t>2</t>
    </r>
  </si>
  <si>
    <r>
      <t>МДж/м</t>
    </r>
    <r>
      <rPr>
        <vertAlign val="superscript"/>
        <sz val="12"/>
        <rFont val="Arial"/>
        <family val="2"/>
        <charset val="204"/>
      </rPr>
      <t>3</t>
    </r>
  </si>
  <si>
    <r>
      <t>ккал/м</t>
    </r>
    <r>
      <rPr>
        <vertAlign val="superscript"/>
        <sz val="12"/>
        <rFont val="Arial"/>
        <family val="2"/>
        <charset val="204"/>
      </rPr>
      <t>3</t>
    </r>
  </si>
  <si>
    <t>Таблица 4.3 Коэффициент выбросов (2025)</t>
  </si>
  <si>
    <t>Таблица 4.2 Переводные коэффициенты (2025)</t>
  </si>
  <si>
    <t>Таблица 5.3 Коэффициент выбросов (2026)</t>
  </si>
  <si>
    <t>Таблица 5.2 Переводные коэффициенты (2026)</t>
  </si>
  <si>
    <t>размерность</t>
  </si>
  <si>
    <t>всего</t>
  </si>
  <si>
    <t>печь НТ-101</t>
  </si>
  <si>
    <t>FQI0523, FQI0481</t>
  </si>
  <si>
    <t>природный газ</t>
  </si>
  <si>
    <t>тыс.нм3</t>
  </si>
  <si>
    <t>топливный углеводородный газ</t>
  </si>
  <si>
    <t>Переработка продуктов гидрирования, вакуумный блок, секция фракционирования</t>
  </si>
  <si>
    <t>печь НТ- 202</t>
  </si>
  <si>
    <t>FQIC2801, FQI2802</t>
  </si>
  <si>
    <t>Факельная установка</t>
  </si>
  <si>
    <t>постоянный сброс</t>
  </si>
  <si>
    <t>-</t>
  </si>
  <si>
    <t>Таблица 1. Количество сжигаемого топлива (2022)</t>
  </si>
  <si>
    <t>топливо</t>
  </si>
  <si>
    <t>Таблица 2. Количество сжигаемого топлива (2023)</t>
  </si>
  <si>
    <t>Таблица 3. Количество сжигаемого топлива (2024)</t>
  </si>
  <si>
    <t>Таблица 4. Количество сжигаемого топлива (2025)</t>
  </si>
  <si>
    <t>Таблица 5. Количество сжигаемого топлива (2026)</t>
  </si>
  <si>
    <t>Гидрирование твердого топлива и сернистых нефтепродуктов</t>
  </si>
  <si>
    <t>01.11.2025 - 31.12.2025</t>
  </si>
  <si>
    <r>
      <t>Таблица 6. Значение плотности СО</t>
    </r>
    <r>
      <rPr>
        <vertAlign val="subscript"/>
        <sz val="12"/>
        <color theme="1"/>
        <rFont val="Arial"/>
        <family val="2"/>
        <charset val="204"/>
      </rPr>
      <t>2</t>
    </r>
    <r>
      <rPr>
        <sz val="12"/>
        <color theme="1"/>
        <rFont val="Arial"/>
        <family val="2"/>
        <charset val="204"/>
      </rPr>
      <t xml:space="preserve"> (при t=20℃)</t>
    </r>
  </si>
  <si>
    <t>Собственные данные компании</t>
  </si>
  <si>
    <t>Таблица 7. Значение низшей теплоты сгорания топливного газа</t>
  </si>
  <si>
    <t>Низшая теплота сгорания топливного газа (кКал/м3)</t>
  </si>
  <si>
    <t>Таблица 5.1 Физико-химические показатели природного газа (2026)</t>
  </si>
  <si>
    <t>Таблица 4.1 Физико-химические показатели природного газа (2025)</t>
  </si>
  <si>
    <t>Таблица 3.1 Физико-химические показатели природного газа (2024)</t>
  </si>
  <si>
    <t>Таблица 2.1 Физико-химические показатели природного газа (2023)</t>
  </si>
  <si>
    <t>Таблица 1.1 Физико-химические показатели природного газа (2022)</t>
  </si>
  <si>
    <t>Коэффициент выбрсоов от сжигания природного газа, т СО2/ТДж</t>
  </si>
  <si>
    <t>Количество топливного газа, замещающее природный газ, тыс нм3</t>
  </si>
  <si>
    <t>01.04.2026-31.12.2026</t>
  </si>
  <si>
    <t xml:space="preserve">Суммарное потребление природного газа печами </t>
  </si>
  <si>
    <t>Наименование параметра</t>
  </si>
  <si>
    <t>Низшая теплота сгорания топливного газа (точка отбора - 1V-S-203 Линия топливного газа на выходе из цеха)</t>
  </si>
  <si>
    <t>ккал/нм3</t>
  </si>
  <si>
    <t>ТДж/тыс. м3</t>
  </si>
  <si>
    <t>Среднее</t>
  </si>
  <si>
    <t>Ед. изм</t>
  </si>
  <si>
    <t>Источник данных</t>
  </si>
  <si>
    <t xml:space="preserve">Потребление природного газа на нужды печей НТ‑101 и НТ‑202 </t>
  </si>
  <si>
    <t>тыс. нм3</t>
  </si>
  <si>
    <t>1) Баланс по установкам КГПТО
2) Паспорта качества природного газа</t>
  </si>
  <si>
    <t>Проектное замещение природного газа топливным газом</t>
  </si>
  <si>
    <t>доля</t>
  </si>
  <si>
    <t>Проектные характеристики</t>
  </si>
  <si>
    <t>Таблица 2. Фактические значения подачи топливного газа</t>
  </si>
  <si>
    <t xml:space="preserve">Потребление топливного газа печами НТ‑101 и НТ‑202 </t>
  </si>
  <si>
    <t>Результаты анализов обессеренного углеводородного газа на выходе из установки VCC (Цех №02 КГПТО)
(1V-S-203 Линия топливного газа на выходе из цеха)</t>
  </si>
  <si>
    <t>1) Баланс по установкам КГПТО
2) Результаты анализов обессеренного углеводородного газа на выходе из установки VCC (Цех №02 КГПТО)
(1V-S-203 Линия топливного газа на выходе из цеха)</t>
  </si>
  <si>
    <t>Низшая теплота сгорания топливного газа, ТДж/тыс.нм3</t>
  </si>
  <si>
    <t>Таблица 8. Значение дляприродного газа, принимаемые за прогнозные</t>
  </si>
  <si>
    <t xml:space="preserve">1V-FIRC 5566 </t>
  </si>
  <si>
    <t>FT 3843</t>
  </si>
  <si>
    <t>Количество топливного газа, замещающее природный газ, ТДж</t>
  </si>
  <si>
    <t>01.01.2026-31.03.2026</t>
  </si>
  <si>
    <t>Гудрон НПЗ</t>
  </si>
  <si>
    <t>т</t>
  </si>
  <si>
    <t>Вакуумный газойль НПЗ</t>
  </si>
  <si>
    <t>Вакуумный газойль от поставщиков</t>
  </si>
  <si>
    <t>Водород КГПТО</t>
  </si>
  <si>
    <t>Угольная добавка КТГ</t>
  </si>
  <si>
    <t>ферваль</t>
  </si>
  <si>
    <t>Таблица 1. Проектные характеристики</t>
  </si>
  <si>
    <t>Эффективность потребления топлива</t>
  </si>
  <si>
    <t>Всего</t>
  </si>
  <si>
    <t>До реализации проекта</t>
  </si>
  <si>
    <t>После реализации проекта</t>
  </si>
  <si>
    <t>Потребление топлива печами, природный газ</t>
  </si>
  <si>
    <t>Потребление топлива печами, топливный газ</t>
  </si>
  <si>
    <t>Поправочный коэффициент эффективности</t>
  </si>
  <si>
    <t>т/ТДж</t>
  </si>
  <si>
    <t>%</t>
  </si>
  <si>
    <t>Таблица 1. Расход сырья</t>
  </si>
  <si>
    <t>Таблица 2. Потребления топлива на обработку сырья</t>
  </si>
  <si>
    <t>Таблица 3. Расчет эффективности потребления топлива</t>
  </si>
  <si>
    <t>В соответствии с проектной методологией МЧР AMS-III.P. принимается консервативное допущение, согласно которому максимальное значение коэффициента эффективности F равно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</si>
</sst>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#,##0.0"/>
    <numFmt numFmtId="166" formatCode="#,##0.000"/>
    <numFmt numFmtId="167" formatCode="0.000"/>
    <numFmt numFmtId="168" formatCode="_([$€]* #,##0.00_);_([$€]* \(#,##0.00\);_([$€]* &quot;-&quot;??_);_(@_)"/>
    <numFmt numFmtId="169" formatCode="0.00000"/>
    <numFmt numFmtId="171" formatCode="#,##0.00000"/>
    <numFmt numFmtId="176" formatCode="0.0%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0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0" tint="-0.249977111117893"/>
      <name val="Arial"/>
      <family val="2"/>
      <charset val="204"/>
    </font>
    <font>
      <sz val="8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vertAlign val="subscript"/>
      <sz val="12"/>
      <color theme="1"/>
      <name val="Arial"/>
      <family val="2"/>
      <charset val="204"/>
    </font>
    <font>
      <vertAlign val="superscript"/>
      <sz val="12"/>
      <color theme="1"/>
      <name val="Arial"/>
      <family val="2"/>
      <charset val="204"/>
    </font>
    <font>
      <b/>
      <sz val="12"/>
      <color theme="0"/>
      <name val="Arial"/>
      <family val="2"/>
      <charset val="204"/>
    </font>
    <font>
      <b/>
      <vertAlign val="subscript"/>
      <sz val="12"/>
      <color theme="0"/>
      <name val="Arial"/>
      <family val="2"/>
      <charset val="204"/>
    </font>
    <font>
      <b/>
      <vertAlign val="superscript"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sz val="12"/>
      <name val="Arial"/>
      <family val="2"/>
      <charset val="204"/>
    </font>
    <font>
      <vertAlign val="subscript"/>
      <sz val="12"/>
      <name val="Arial"/>
      <family val="2"/>
      <charset val="204"/>
    </font>
    <font>
      <vertAlign val="superscript"/>
      <sz val="12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Helv"/>
      <charset val="204"/>
    </font>
    <font>
      <sz val="10"/>
      <name val="MS Sans Serif"/>
      <family val="2"/>
      <charset val="204"/>
    </font>
    <font>
      <sz val="10"/>
      <name val="Helv"/>
    </font>
    <font>
      <b/>
      <sz val="1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F1D3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rgb="FFAEAAAA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2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/>
    <xf numFmtId="0" fontId="1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0" fontId="5" fillId="0" borderId="0"/>
    <xf numFmtId="0" fontId="3" fillId="0" borderId="0"/>
    <xf numFmtId="0" fontId="2" fillId="0" borderId="0"/>
    <xf numFmtId="9" fontId="1" fillId="0" borderId="0" applyFont="0" applyFill="0" applyBorder="0" applyProtection="0"/>
    <xf numFmtId="0" fontId="4" fillId="0" borderId="0"/>
    <xf numFmtId="0" fontId="26" fillId="0" borderId="0"/>
    <xf numFmtId="0" fontId="27" fillId="0" borderId="0"/>
    <xf numFmtId="0" fontId="28" fillId="6" borderId="0"/>
    <xf numFmtId="168" fontId="2" fillId="0" borderId="0" applyFont="0" applyFill="0" applyBorder="0" applyAlignment="0" applyProtection="0"/>
    <xf numFmtId="0" fontId="28" fillId="0" borderId="25"/>
    <xf numFmtId="0" fontId="29" fillId="0" borderId="0"/>
    <xf numFmtId="0" fontId="4" fillId="0" borderId="0">
      <alignment vertical="justify"/>
    </xf>
    <xf numFmtId="0" fontId="4" fillId="7" borderId="2" applyNumberFormat="0" applyAlignment="0">
      <alignment horizontal="left"/>
    </xf>
    <xf numFmtId="38" fontId="28" fillId="0" borderId="0" applyFont="0" applyFill="0" applyBorder="0" applyAlignment="0" applyProtection="0"/>
    <xf numFmtId="40" fontId="28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5">
    <xf numFmtId="0" fontId="0" fillId="0" borderId="0" xfId="0"/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65" fontId="6" fillId="0" borderId="2" xfId="0" applyNumberFormat="1" applyFont="1" applyBorder="1" applyAlignment="1">
      <alignment horizontal="center" vertical="center"/>
    </xf>
    <xf numFmtId="0" fontId="7" fillId="3" borderId="8" xfId="0" applyFont="1" applyFill="1" applyBorder="1"/>
    <xf numFmtId="0" fontId="7" fillId="3" borderId="9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/>
    <xf numFmtId="0" fontId="6" fillId="0" borderId="0" xfId="0" applyFont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/>
    <xf numFmtId="3" fontId="6" fillId="0" borderId="2" xfId="0" applyNumberFormat="1" applyFont="1" applyBorder="1" applyAlignment="1">
      <alignment horizontal="center" vertical="center"/>
    </xf>
    <xf numFmtId="0" fontId="8" fillId="0" borderId="0" xfId="0" applyFont="1"/>
    <xf numFmtId="165" fontId="6" fillId="0" borderId="12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166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6" fillId="0" borderId="10" xfId="0" applyFont="1" applyBorder="1" applyAlignment="1">
      <alignment horizontal="center" vertical="center"/>
    </xf>
    <xf numFmtId="0" fontId="11" fillId="4" borderId="0" xfId="0" applyFont="1" applyFill="1"/>
    <xf numFmtId="0" fontId="11" fillId="4" borderId="1" xfId="0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0" fontId="11" fillId="4" borderId="2" xfId="0" applyFont="1" applyFill="1" applyBorder="1"/>
    <xf numFmtId="0" fontId="11" fillId="4" borderId="2" xfId="0" applyFont="1" applyFill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2" fontId="11" fillId="2" borderId="2" xfId="0" applyNumberFormat="1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/>
    </xf>
    <xf numFmtId="0" fontId="11" fillId="5" borderId="2" xfId="0" applyFont="1" applyFill="1" applyBorder="1"/>
    <xf numFmtId="2" fontId="11" fillId="5" borderId="2" xfId="0" applyNumberFormat="1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2" fontId="11" fillId="4" borderId="0" xfId="0" applyNumberFormat="1" applyFont="1" applyFill="1" applyAlignment="1">
      <alignment horizontal="center"/>
    </xf>
    <xf numFmtId="0" fontId="15" fillId="3" borderId="18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18" fillId="4" borderId="0" xfId="0" applyFont="1" applyFill="1"/>
    <xf numFmtId="2" fontId="11" fillId="5" borderId="1" xfId="0" applyNumberFormat="1" applyFont="1" applyFill="1" applyBorder="1" applyAlignment="1">
      <alignment horizontal="center" vertical="center"/>
    </xf>
    <xf numFmtId="2" fontId="11" fillId="4" borderId="0" xfId="0" applyNumberFormat="1" applyFont="1" applyFill="1" applyAlignment="1">
      <alignment horizontal="center" vertical="center"/>
    </xf>
    <xf numFmtId="0" fontId="19" fillId="4" borderId="0" xfId="0" applyFont="1" applyFill="1"/>
    <xf numFmtId="0" fontId="19" fillId="4" borderId="1" xfId="0" applyFont="1" applyFill="1" applyBorder="1" applyAlignment="1">
      <alignment horizontal="center" vertical="center"/>
    </xf>
    <xf numFmtId="0" fontId="19" fillId="4" borderId="2" xfId="0" applyFont="1" applyFill="1" applyBorder="1"/>
    <xf numFmtId="0" fontId="19" fillId="4" borderId="2" xfId="0" applyFont="1" applyFill="1" applyBorder="1" applyAlignment="1">
      <alignment horizontal="center" vertical="center"/>
    </xf>
    <xf numFmtId="0" fontId="19" fillId="5" borderId="2" xfId="0" applyFont="1" applyFill="1" applyBorder="1"/>
    <xf numFmtId="2" fontId="19" fillId="5" borderId="2" xfId="0" applyNumberFormat="1" applyFont="1" applyFill="1" applyBorder="1" applyAlignment="1">
      <alignment horizontal="center" vertical="center"/>
    </xf>
    <xf numFmtId="2" fontId="19" fillId="4" borderId="0" xfId="0" applyNumberFormat="1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2" fontId="19" fillId="4" borderId="0" xfId="0" applyNumberFormat="1" applyFont="1" applyFill="1"/>
    <xf numFmtId="0" fontId="11" fillId="4" borderId="0" xfId="0" applyFont="1" applyFill="1" applyBorder="1"/>
    <xf numFmtId="2" fontId="11" fillId="4" borderId="0" xfId="0" applyNumberFormat="1" applyFont="1" applyFill="1" applyBorder="1" applyAlignment="1">
      <alignment horizontal="center" vertical="center"/>
    </xf>
    <xf numFmtId="0" fontId="0" fillId="0" borderId="2" xfId="0" applyBorder="1"/>
    <xf numFmtId="0" fontId="11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0" xfId="0" applyFont="1" applyFill="1" applyBorder="1" applyAlignment="1">
      <alignment horizontal="left" vertical="center"/>
    </xf>
    <xf numFmtId="4" fontId="11" fillId="4" borderId="2" xfId="0" applyNumberFormat="1" applyFont="1" applyFill="1" applyBorder="1" applyAlignment="1">
      <alignment horizontal="center" vertical="center"/>
    </xf>
    <xf numFmtId="4" fontId="11" fillId="5" borderId="2" xfId="0" applyNumberFormat="1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14" fontId="7" fillId="3" borderId="13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166" fontId="6" fillId="0" borderId="0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 wrapText="1"/>
    </xf>
    <xf numFmtId="166" fontId="12" fillId="0" borderId="0" xfId="0" applyNumberFormat="1" applyFont="1"/>
    <xf numFmtId="0" fontId="22" fillId="0" borderId="2" xfId="0" applyFont="1" applyBorder="1"/>
    <xf numFmtId="0" fontId="23" fillId="4" borderId="2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/>
    </xf>
    <xf numFmtId="2" fontId="23" fillId="5" borderId="2" xfId="0" applyNumberFormat="1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left" vertical="center" wrapText="1"/>
    </xf>
    <xf numFmtId="165" fontId="11" fillId="0" borderId="2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11" fillId="4" borderId="2" xfId="0" applyNumberFormat="1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center" vertical="center"/>
    </xf>
    <xf numFmtId="2" fontId="15" fillId="3" borderId="2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1" fillId="0" borderId="0" xfId="0" applyFont="1" applyAlignment="1">
      <alignment horizontal="left" vertical="center"/>
    </xf>
    <xf numFmtId="0" fontId="11" fillId="0" borderId="0" xfId="0" applyFont="1" applyFill="1"/>
    <xf numFmtId="0" fontId="11" fillId="0" borderId="0" xfId="0" applyFont="1" applyAlignment="1">
      <alignment wrapText="1"/>
    </xf>
    <xf numFmtId="0" fontId="24" fillId="0" borderId="0" xfId="0" applyFont="1" applyAlignment="1">
      <alignment horizontal="left" vertical="center"/>
    </xf>
    <xf numFmtId="0" fontId="25" fillId="0" borderId="0" xfId="0" applyFont="1"/>
    <xf numFmtId="4" fontId="11" fillId="4" borderId="2" xfId="0" quotePrefix="1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left" vertical="center" wrapText="1"/>
    </xf>
    <xf numFmtId="17" fontId="15" fillId="3" borderId="2" xfId="0" applyNumberFormat="1" applyFont="1" applyFill="1" applyBorder="1" applyAlignment="1">
      <alignment horizontal="center" vertical="center"/>
    </xf>
    <xf numFmtId="165" fontId="6" fillId="0" borderId="23" xfId="0" applyNumberFormat="1" applyFont="1" applyBorder="1" applyAlignment="1">
      <alignment horizontal="center" vertical="center"/>
    </xf>
    <xf numFmtId="166" fontId="6" fillId="0" borderId="23" xfId="0" applyNumberFormat="1" applyFont="1" applyBorder="1" applyAlignment="1">
      <alignment horizontal="center" vertical="center"/>
    </xf>
    <xf numFmtId="4" fontId="6" fillId="0" borderId="23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165" fontId="6" fillId="0" borderId="24" xfId="0" applyNumberFormat="1" applyFont="1" applyBorder="1" applyAlignment="1">
      <alignment horizontal="center" vertical="center"/>
    </xf>
    <xf numFmtId="167" fontId="6" fillId="0" borderId="24" xfId="0" applyNumberFormat="1" applyFont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166" fontId="11" fillId="0" borderId="2" xfId="0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3" fontId="6" fillId="2" borderId="5" xfId="0" applyNumberFormat="1" applyFon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vertical="center" wrapText="1"/>
    </xf>
    <xf numFmtId="0" fontId="23" fillId="4" borderId="1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16" xfId="0" applyFont="1" applyFill="1" applyBorder="1" applyAlignment="1">
      <alignment horizontal="center" vertical="center"/>
    </xf>
    <xf numFmtId="0" fontId="19" fillId="4" borderId="19" xfId="0" applyFont="1" applyFill="1" applyBorder="1" applyAlignment="1">
      <alignment horizontal="center" vertical="center"/>
    </xf>
    <xf numFmtId="0" fontId="19" fillId="4" borderId="20" xfId="0" applyFont="1" applyFill="1" applyBorder="1" applyAlignment="1">
      <alignment horizontal="center" vertical="center"/>
    </xf>
    <xf numFmtId="0" fontId="19" fillId="4" borderId="21" xfId="0" applyFont="1" applyFill="1" applyBorder="1" applyAlignment="1">
      <alignment horizontal="center" vertical="center"/>
    </xf>
    <xf numFmtId="0" fontId="19" fillId="4" borderId="22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wrapText="1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left" vertical="center"/>
    </xf>
    <xf numFmtId="0" fontId="11" fillId="0" borderId="0" xfId="0" applyFont="1" applyBorder="1"/>
    <xf numFmtId="169" fontId="11" fillId="0" borderId="0" xfId="0" applyNumberFormat="1" applyFont="1" applyBorder="1"/>
    <xf numFmtId="0" fontId="11" fillId="0" borderId="0" xfId="0" applyFont="1" applyBorder="1" applyAlignment="1">
      <alignment horizontal="center" vertical="center"/>
    </xf>
    <xf numFmtId="0" fontId="11" fillId="0" borderId="0" xfId="0" applyFont="1" applyFill="1" applyBorder="1"/>
    <xf numFmtId="0" fontId="11" fillId="8" borderId="0" xfId="0" applyFont="1" applyFill="1" applyBorder="1"/>
    <xf numFmtId="165" fontId="11" fillId="8" borderId="0" xfId="0" applyNumberFormat="1" applyFont="1" applyFill="1" applyBorder="1"/>
    <xf numFmtId="169" fontId="11" fillId="8" borderId="0" xfId="0" applyNumberFormat="1" applyFont="1" applyFill="1" applyBorder="1"/>
    <xf numFmtId="165" fontId="19" fillId="8" borderId="0" xfId="19" applyNumberFormat="1" applyFont="1" applyFill="1" applyBorder="1" applyAlignment="1">
      <alignment horizontal="center" vertical="center"/>
    </xf>
    <xf numFmtId="165" fontId="11" fillId="0" borderId="0" xfId="0" applyNumberFormat="1" applyFont="1" applyFill="1" applyBorder="1" applyAlignment="1">
      <alignment horizontal="center"/>
    </xf>
    <xf numFmtId="165" fontId="11" fillId="8" borderId="0" xfId="0" applyNumberFormat="1" applyFont="1" applyFill="1" applyBorder="1" applyAlignment="1">
      <alignment horizontal="center"/>
    </xf>
    <xf numFmtId="0" fontId="19" fillId="0" borderId="2" xfId="18" applyFont="1" applyFill="1" applyBorder="1" applyAlignment="1" applyProtection="1">
      <alignment horizontal="center" wrapText="1"/>
      <protection locked="0"/>
    </xf>
    <xf numFmtId="165" fontId="19" fillId="0" borderId="2" xfId="19" applyNumberFormat="1" applyFont="1" applyFill="1" applyBorder="1" applyAlignment="1">
      <alignment horizontal="center" vertical="center"/>
    </xf>
    <xf numFmtId="165" fontId="11" fillId="0" borderId="2" xfId="0" applyNumberFormat="1" applyFont="1" applyFill="1" applyBorder="1" applyAlignment="1">
      <alignment horizontal="center"/>
    </xf>
    <xf numFmtId="0" fontId="30" fillId="0" borderId="2" xfId="18" applyFont="1" applyFill="1" applyBorder="1" applyAlignment="1" applyProtection="1">
      <alignment horizontal="right" vertical="center" wrapText="1"/>
      <protection locked="0"/>
    </xf>
    <xf numFmtId="171" fontId="11" fillId="0" borderId="0" xfId="0" applyNumberFormat="1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23" fillId="8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/>
    </xf>
    <xf numFmtId="0" fontId="15" fillId="8" borderId="27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/>
    </xf>
    <xf numFmtId="0" fontId="15" fillId="8" borderId="30" xfId="0" applyFont="1" applyFill="1" applyBorder="1" applyAlignment="1">
      <alignment horizontal="center" vertical="center"/>
    </xf>
    <xf numFmtId="0" fontId="15" fillId="3" borderId="30" xfId="0" applyFont="1" applyFill="1" applyBorder="1" applyAlignment="1">
      <alignment horizontal="center" vertical="center"/>
    </xf>
    <xf numFmtId="0" fontId="15" fillId="3" borderId="31" xfId="0" applyFont="1" applyFill="1" applyBorder="1" applyAlignment="1">
      <alignment horizontal="center" vertical="center"/>
    </xf>
    <xf numFmtId="0" fontId="30" fillId="0" borderId="2" xfId="18" applyFont="1" applyFill="1" applyBorder="1" applyAlignment="1" applyProtection="1">
      <alignment horizontal="left" vertical="center" wrapText="1" indent="1"/>
      <protection locked="0"/>
    </xf>
    <xf numFmtId="0" fontId="23" fillId="0" borderId="2" xfId="0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30" fillId="0" borderId="0" xfId="18" applyFont="1" applyFill="1" applyBorder="1" applyAlignment="1" applyProtection="1">
      <alignment horizontal="right" vertical="center" wrapText="1"/>
      <protection locked="0"/>
    </xf>
    <xf numFmtId="165" fontId="11" fillId="0" borderId="2" xfId="0" applyNumberFormat="1" applyFont="1" applyBorder="1" applyAlignment="1">
      <alignment horizontal="center"/>
    </xf>
    <xf numFmtId="176" fontId="11" fillId="0" borderId="2" xfId="31" applyNumberFormat="1" applyFont="1" applyBorder="1" applyAlignment="1">
      <alignment horizontal="center" vertical="center"/>
    </xf>
    <xf numFmtId="9" fontId="6" fillId="0" borderId="2" xfId="31" applyFont="1" applyFill="1" applyBorder="1" applyAlignment="1">
      <alignment horizontal="center" vertical="center"/>
    </xf>
    <xf numFmtId="9" fontId="6" fillId="0" borderId="24" xfId="31" applyFont="1" applyFill="1" applyBorder="1" applyAlignment="1">
      <alignment horizontal="center" vertical="center"/>
    </xf>
    <xf numFmtId="9" fontId="6" fillId="0" borderId="23" xfId="3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</cellXfs>
  <cellStyles count="32">
    <cellStyle name="_090 операционные доходы план-факт 2" xfId="20" xr:uid="{F107550E-7DDF-4ED8-88CF-A9EEA30ED6A4}"/>
    <cellStyle name="1Normal" xfId="21" xr:uid="{435729FF-0429-4D08-B942-511849CC29F3}"/>
    <cellStyle name="Euro" xfId="22" xr:uid="{18E21274-A720-488B-8435-998FE7FB6978}"/>
    <cellStyle name="Norma11l" xfId="23" xr:uid="{37B8DB8C-EC47-48AB-8EC9-31125BD2FAEF}"/>
    <cellStyle name="Normal 2" xfId="4" xr:uid="{AEB5ADE4-B5B1-4CF3-B0FA-21912A75CEF0}"/>
    <cellStyle name="Normal 3" xfId="14" xr:uid="{516BEDD0-486E-4F39-B0E9-D2ED7701BC08}"/>
    <cellStyle name="Normal 4" xfId="15" xr:uid="{71CCB609-B1ED-4705-8605-BA441FA6E700}"/>
    <cellStyle name="Обычный" xfId="0" builtinId="0"/>
    <cellStyle name="Обычный 2" xfId="3" xr:uid="{053CA489-4338-4381-B3AB-C3C0B1A6B945}"/>
    <cellStyle name="Обычный 2 2" xfId="10" xr:uid="{EEF90423-5181-4068-A4F6-055E75508D19}"/>
    <cellStyle name="Обычный 2 3" xfId="16" xr:uid="{7DA5955D-E547-4E26-9378-781BBD85D5A2}"/>
    <cellStyle name="Обычный 3" xfId="2" xr:uid="{BFD732DB-8C3D-4FEA-9E82-F4B10C7C5FBE}"/>
    <cellStyle name="Обычный 3 2" xfId="29" xr:uid="{C9A432DA-8748-4640-91A0-06FF90B99A0D}"/>
    <cellStyle name="Обычный 4" xfId="1" xr:uid="{5AD9134B-A016-4130-B6CE-593566CD234A}"/>
    <cellStyle name="Обычный 4 2 2 2" xfId="6" xr:uid="{B1F8051A-70FF-4FAA-B0BB-1D536F47A911}"/>
    <cellStyle name="Обычный 4 3" xfId="12" xr:uid="{CC7F5980-3F7B-42D2-B56D-60E365CA5588}"/>
    <cellStyle name="Обычный 4 5" xfId="7" xr:uid="{5F4C0F95-16B9-4AF0-A444-CC8C8367E77C}"/>
    <cellStyle name="Обычный 4 6" xfId="8" xr:uid="{1D6BD4D5-91E5-4F90-B8DA-C9C2BEB299DE}"/>
    <cellStyle name="Обычный 4 8" xfId="9" xr:uid="{9473DD49-0CDE-41AE-9D90-52A53F425525}"/>
    <cellStyle name="Обычный 5" xfId="13" xr:uid="{32156459-315F-4829-8B0D-CE5320234374}"/>
    <cellStyle name="Обычный_МП МБУ" xfId="18" xr:uid="{B1E8461D-087A-4D02-BA42-8194D68061D7}"/>
    <cellStyle name="Обычный_Форма SAP  для факта" xfId="19" xr:uid="{C0B34BA7-4925-4264-92F1-615CC596E3FF}"/>
    <cellStyle name="Процентный" xfId="31" builtinId="5"/>
    <cellStyle name="Процентный 2" xfId="11" xr:uid="{570F9B34-B1E1-4812-9F12-C2515BF46F73}"/>
    <cellStyle name="Процентный 3" xfId="17" xr:uid="{39EED5ED-2A75-4F32-BF8B-2CB4A2283214}"/>
    <cellStyle name="Процентный 4" xfId="30" xr:uid="{DEF03331-6A5D-4FC4-BF3F-F722199068DF}"/>
    <cellStyle name="Стиль 1" xfId="24" xr:uid="{813692A6-D25D-479C-B8CB-183E70C54BC1}"/>
    <cellStyle name="Стиль_названий" xfId="25" xr:uid="{999674B7-8FE6-406B-B91C-F8C631499C74}"/>
    <cellStyle name="Строка чётная" xfId="26" xr:uid="{66103E11-F472-4F90-B958-0C1780C7E482}"/>
    <cellStyle name="Тысячи [0]_Chart1 (Sales &amp; Costs)" xfId="27" xr:uid="{670CD2EB-6DFB-4A5E-B6F2-7A2501362D6F}"/>
    <cellStyle name="Тысячи_Chart1 (Sales &amp; Costs)" xfId="28" xr:uid="{3FDEF954-8D8E-4C2D-B770-A542AFB01460}"/>
    <cellStyle name="Финансовый 2 2" xfId="5" xr:uid="{EB6598F7-DBF6-46E0-BC40-35337EFC60E2}"/>
  </cellStyles>
  <dxfs count="0"/>
  <tableStyles count="0" defaultTableStyle="TableStyleMedium2" defaultPivotStyle="PivotStyleLight16"/>
  <colors>
    <mruColors>
      <color rgb="FFAEAAAA"/>
      <color rgb="FF0F1D3F"/>
      <color rgb="FFDDEBF7"/>
      <color rgb="FFE2EFDA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10</xdr:row>
      <xdr:rowOff>0</xdr:rowOff>
    </xdr:from>
    <xdr:to>
      <xdr:col>9</xdr:col>
      <xdr:colOff>304800</xdr:colOff>
      <xdr:row>11</xdr:row>
      <xdr:rowOff>112059</xdr:rowOff>
    </xdr:to>
    <xdr:sp macro="" textlink="">
      <xdr:nvSpPr>
        <xdr:cNvPr id="10241" name="AutoShape 1">
          <a:extLst>
            <a:ext uri="{FF2B5EF4-FFF2-40B4-BE49-F238E27FC236}">
              <a16:creationId xmlns:a16="http://schemas.microsoft.com/office/drawing/2014/main" id="{6DF66661-4A3C-4111-8B43-19902C6D5448}"/>
            </a:ext>
          </a:extLst>
        </xdr:cNvPr>
        <xdr:cNvSpPr>
          <a:spLocks noChangeAspect="1" noChangeArrowheads="1"/>
        </xdr:cNvSpPr>
      </xdr:nvSpPr>
      <xdr:spPr bwMode="auto">
        <a:xfrm>
          <a:off x="7239000" y="495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0</xdr:colOff>
      <xdr:row>11</xdr:row>
      <xdr:rowOff>0</xdr:rowOff>
    </xdr:from>
    <xdr:ext cx="304800" cy="300878"/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C7370A48-3809-2644-B2BD-A6A6B7B84712}"/>
            </a:ext>
          </a:extLst>
        </xdr:cNvPr>
        <xdr:cNvSpPr>
          <a:spLocks noChangeAspect="1" noChangeArrowheads="1"/>
        </xdr:cNvSpPr>
      </xdr:nvSpPr>
      <xdr:spPr bwMode="auto">
        <a:xfrm>
          <a:off x="9442824" y="3376706"/>
          <a:ext cx="304800" cy="300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304800" cy="300879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4DDB9560-8917-7C41-948C-67B9B2F76AC8}"/>
            </a:ext>
          </a:extLst>
        </xdr:cNvPr>
        <xdr:cNvSpPr>
          <a:spLocks noChangeAspect="1" noChangeArrowheads="1"/>
        </xdr:cNvSpPr>
      </xdr:nvSpPr>
      <xdr:spPr bwMode="auto">
        <a:xfrm>
          <a:off x="10428941" y="3376706"/>
          <a:ext cx="304800" cy="300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304800" cy="300878"/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B0BC5942-5F7A-6448-99FA-AC53B1D3D2C4}"/>
            </a:ext>
          </a:extLst>
        </xdr:cNvPr>
        <xdr:cNvSpPr>
          <a:spLocks noChangeAspect="1" noChangeArrowheads="1"/>
        </xdr:cNvSpPr>
      </xdr:nvSpPr>
      <xdr:spPr bwMode="auto">
        <a:xfrm>
          <a:off x="9442824" y="3376706"/>
          <a:ext cx="304800" cy="300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304800" cy="300879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BC74AE82-0DC9-2940-B444-7A738EC04FE3}"/>
            </a:ext>
          </a:extLst>
        </xdr:cNvPr>
        <xdr:cNvSpPr>
          <a:spLocks noChangeAspect="1" noChangeArrowheads="1"/>
        </xdr:cNvSpPr>
      </xdr:nvSpPr>
      <xdr:spPr bwMode="auto">
        <a:xfrm>
          <a:off x="10428941" y="3376706"/>
          <a:ext cx="304800" cy="300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304800" cy="300878"/>
    <xdr:sp macro="" textlink="">
      <xdr:nvSpPr>
        <xdr:cNvPr id="18" name="AutoShape 1">
          <a:extLst>
            <a:ext uri="{FF2B5EF4-FFF2-40B4-BE49-F238E27FC236}">
              <a16:creationId xmlns:a16="http://schemas.microsoft.com/office/drawing/2014/main" id="{D65477CB-EDB4-B34D-9F38-963CE0525772}"/>
            </a:ext>
          </a:extLst>
        </xdr:cNvPr>
        <xdr:cNvSpPr>
          <a:spLocks noChangeAspect="1" noChangeArrowheads="1"/>
        </xdr:cNvSpPr>
      </xdr:nvSpPr>
      <xdr:spPr bwMode="auto">
        <a:xfrm>
          <a:off x="9442824" y="3346824"/>
          <a:ext cx="304800" cy="300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304800" cy="300879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13C5A39-E22B-0F48-A442-785576E3AF62}"/>
            </a:ext>
          </a:extLst>
        </xdr:cNvPr>
        <xdr:cNvSpPr>
          <a:spLocks noChangeAspect="1" noChangeArrowheads="1"/>
        </xdr:cNvSpPr>
      </xdr:nvSpPr>
      <xdr:spPr bwMode="auto">
        <a:xfrm>
          <a:off x="10428941" y="3346824"/>
          <a:ext cx="304800" cy="300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67235</xdr:colOff>
      <xdr:row>11</xdr:row>
      <xdr:rowOff>0</xdr:rowOff>
    </xdr:from>
    <xdr:ext cx="304800" cy="300878"/>
    <xdr:sp macro="" textlink="">
      <xdr:nvSpPr>
        <xdr:cNvPr id="20" name="AutoShape 1">
          <a:extLst>
            <a:ext uri="{FF2B5EF4-FFF2-40B4-BE49-F238E27FC236}">
              <a16:creationId xmlns:a16="http://schemas.microsoft.com/office/drawing/2014/main" id="{EB8A5F50-DAC3-A243-835C-FABECBCCCA26}"/>
            </a:ext>
          </a:extLst>
        </xdr:cNvPr>
        <xdr:cNvSpPr>
          <a:spLocks noChangeAspect="1" noChangeArrowheads="1"/>
        </xdr:cNvSpPr>
      </xdr:nvSpPr>
      <xdr:spPr bwMode="auto">
        <a:xfrm>
          <a:off x="8931088" y="2678206"/>
          <a:ext cx="304800" cy="300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56030</xdr:colOff>
      <xdr:row>11</xdr:row>
      <xdr:rowOff>0</xdr:rowOff>
    </xdr:from>
    <xdr:ext cx="304800" cy="300879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32CB0E7E-1689-3846-A097-AFC90B921ED5}"/>
            </a:ext>
          </a:extLst>
        </xdr:cNvPr>
        <xdr:cNvSpPr>
          <a:spLocks noChangeAspect="1" noChangeArrowheads="1"/>
        </xdr:cNvSpPr>
      </xdr:nvSpPr>
      <xdr:spPr bwMode="auto">
        <a:xfrm>
          <a:off x="8919883" y="2879912"/>
          <a:ext cx="304800" cy="300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518E0-2425-4BC5-BB7A-CD88D5F169B4}">
  <dimension ref="B2:Q11"/>
  <sheetViews>
    <sheetView showGridLines="0"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K34" sqref="K34"/>
    </sheetView>
  </sheetViews>
  <sheetFormatPr defaultColWidth="9.140625" defaultRowHeight="14.25" x14ac:dyDescent="0.25"/>
  <cols>
    <col min="1" max="1" width="5.42578125" style="9" customWidth="1"/>
    <col min="2" max="2" width="33.42578125" style="9" customWidth="1"/>
    <col min="3" max="3" width="16.42578125" style="9" customWidth="1"/>
    <col min="4" max="13" width="13" style="9" customWidth="1"/>
    <col min="14" max="14" width="10.140625" style="9" bestFit="1" customWidth="1"/>
    <col min="15" max="16384" width="9.140625" style="9"/>
  </cols>
  <sheetData>
    <row r="2" spans="2:17" x14ac:dyDescent="0.25">
      <c r="B2" s="3" t="s">
        <v>12</v>
      </c>
    </row>
    <row r="3" spans="2:17" s="12" customFormat="1" ht="42.75" customHeight="1" x14ac:dyDescent="0.25">
      <c r="B3" s="10" t="s">
        <v>2</v>
      </c>
      <c r="C3" s="11" t="s">
        <v>7</v>
      </c>
      <c r="D3" s="6">
        <v>2026</v>
      </c>
      <c r="E3" s="6">
        <v>2027</v>
      </c>
      <c r="F3" s="6">
        <v>2028</v>
      </c>
      <c r="G3" s="6">
        <v>2029</v>
      </c>
      <c r="H3" s="6">
        <v>2030</v>
      </c>
      <c r="I3" s="6">
        <v>2031</v>
      </c>
      <c r="J3" s="6">
        <v>2032</v>
      </c>
      <c r="K3" s="6">
        <v>2033</v>
      </c>
      <c r="L3" s="6">
        <v>2034</v>
      </c>
      <c r="M3" s="6">
        <v>2035</v>
      </c>
    </row>
    <row r="4" spans="2:17" s="14" customFormat="1" ht="16.5" customHeight="1" x14ac:dyDescent="0.25"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  <c r="H4" s="13">
        <v>7</v>
      </c>
      <c r="I4" s="13">
        <v>8</v>
      </c>
      <c r="J4" s="13">
        <v>9</v>
      </c>
      <c r="K4" s="13">
        <v>10</v>
      </c>
      <c r="L4" s="13">
        <v>11</v>
      </c>
      <c r="M4" s="13">
        <v>12</v>
      </c>
    </row>
    <row r="5" spans="2:17" ht="19.5" customHeight="1" x14ac:dyDescent="0.25">
      <c r="B5" s="7" t="s">
        <v>3</v>
      </c>
      <c r="C5" s="2" t="s">
        <v>13</v>
      </c>
      <c r="D5" s="16">
        <f>ROUNDDOWN('Расчетная модель'!D10+'Расчетная модель'!E10,0)</f>
        <v>19579</v>
      </c>
      <c r="E5" s="16">
        <f>ROUNDDOWN('Расчетная модель'!F10,0)</f>
        <v>26754</v>
      </c>
      <c r="F5" s="16">
        <f>ROUNDDOWN('Расчетная модель'!G10,0)</f>
        <v>26754</v>
      </c>
      <c r="G5" s="16">
        <f>ROUNDDOWN('Расчетная модель'!H10,0)</f>
        <v>26754</v>
      </c>
      <c r="H5" s="16">
        <f>ROUNDDOWN('Расчетная модель'!I10,0)</f>
        <v>26754</v>
      </c>
      <c r="I5" s="16">
        <f>ROUNDDOWN('Расчетная модель'!J10,0)</f>
        <v>26754</v>
      </c>
      <c r="J5" s="16">
        <f>ROUNDDOWN('Расчетная модель'!K10,0)</f>
        <v>26754</v>
      </c>
      <c r="K5" s="16">
        <f>ROUNDDOWN('Расчетная модель'!L10,0)</f>
        <v>26754</v>
      </c>
      <c r="L5" s="16">
        <f>ROUNDDOWN('Расчетная модель'!M10,0)</f>
        <v>26754</v>
      </c>
      <c r="M5" s="16">
        <f>ROUNDDOWN('Расчетная модель'!N10,0)</f>
        <v>26754</v>
      </c>
      <c r="N5" s="20"/>
    </row>
    <row r="6" spans="2:17" ht="19.5" customHeight="1" x14ac:dyDescent="0.25">
      <c r="B6" s="7" t="s">
        <v>4</v>
      </c>
      <c r="C6" s="2" t="s">
        <v>13</v>
      </c>
      <c r="D6" s="16">
        <f>'Расчетная модель'!E14</f>
        <v>0</v>
      </c>
      <c r="E6" s="16">
        <f>'Расчетная модель'!F14</f>
        <v>0</v>
      </c>
      <c r="F6" s="16">
        <f>'Расчетная модель'!G14</f>
        <v>0</v>
      </c>
      <c r="G6" s="16">
        <f>'Расчетная модель'!H14</f>
        <v>0</v>
      </c>
      <c r="H6" s="16">
        <f>'Расчетная модель'!I14</f>
        <v>0</v>
      </c>
      <c r="I6" s="16">
        <f>'Расчетная модель'!J14</f>
        <v>0</v>
      </c>
      <c r="J6" s="16">
        <f>'Расчетная модель'!K14</f>
        <v>0</v>
      </c>
      <c r="K6" s="16">
        <f>'Расчетная модель'!L14</f>
        <v>0</v>
      </c>
      <c r="L6" s="16">
        <f>'Расчетная модель'!M14</f>
        <v>0</v>
      </c>
      <c r="M6" s="16">
        <f>'Расчетная модель'!N14</f>
        <v>0</v>
      </c>
      <c r="N6" s="20"/>
    </row>
    <row r="7" spans="2:17" ht="19.5" customHeight="1" x14ac:dyDescent="0.25">
      <c r="B7" s="7" t="s">
        <v>5</v>
      </c>
      <c r="C7" s="2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</row>
    <row r="8" spans="2:17" ht="19.5" customHeight="1" thickBot="1" x14ac:dyDescent="0.3">
      <c r="B8" s="7" t="s">
        <v>6</v>
      </c>
      <c r="C8" s="2" t="s">
        <v>13</v>
      </c>
      <c r="D8" s="19">
        <f t="shared" ref="D8:M8" si="0">D5-D6-D7</f>
        <v>19579</v>
      </c>
      <c r="E8" s="19">
        <f t="shared" si="0"/>
        <v>26754</v>
      </c>
      <c r="F8" s="19">
        <f t="shared" si="0"/>
        <v>26754</v>
      </c>
      <c r="G8" s="19">
        <f t="shared" si="0"/>
        <v>26754</v>
      </c>
      <c r="H8" s="19">
        <f t="shared" si="0"/>
        <v>26754</v>
      </c>
      <c r="I8" s="19">
        <f t="shared" si="0"/>
        <v>26754</v>
      </c>
      <c r="J8" s="19">
        <f t="shared" si="0"/>
        <v>26754</v>
      </c>
      <c r="K8" s="19">
        <f t="shared" si="0"/>
        <v>26754</v>
      </c>
      <c r="L8" s="19">
        <f t="shared" si="0"/>
        <v>26754</v>
      </c>
      <c r="M8" s="19">
        <f t="shared" si="0"/>
        <v>26754</v>
      </c>
      <c r="N8" s="20"/>
    </row>
    <row r="9" spans="2:17" ht="15.75" thickBot="1" x14ac:dyDescent="0.3">
      <c r="D9" s="106">
        <f>SUM(D8:M8)</f>
        <v>260365</v>
      </c>
      <c r="E9" s="106"/>
      <c r="F9" s="106"/>
      <c r="G9" s="106"/>
      <c r="H9" s="106"/>
      <c r="I9" s="106"/>
      <c r="J9" s="106"/>
      <c r="K9" s="106"/>
      <c r="L9" s="106"/>
      <c r="M9" s="107"/>
      <c r="Q9"/>
    </row>
    <row r="10" spans="2:17" ht="15" x14ac:dyDescent="0.25">
      <c r="Q10"/>
    </row>
    <row r="11" spans="2:17" ht="15" x14ac:dyDescent="0.25">
      <c r="Q11"/>
    </row>
  </sheetData>
  <mergeCells count="1">
    <mergeCell ref="D9:M9"/>
  </mergeCells>
  <phoneticPr fontId="10" type="noConversion"/>
  <pageMargins left="0.7" right="0.7" top="0.75" bottom="0.75" header="0.3" footer="0.3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DC707-B8BE-4BE9-A05B-030C9B97EB90}">
  <sheetPr>
    <tabColor rgb="FFAEAAAA"/>
  </sheetPr>
  <dimension ref="A1"/>
  <sheetViews>
    <sheetView showGridLines="0" workbookViewId="0">
      <selection activeCell="K36" sqref="K35:K36"/>
    </sheetView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E57EE-AE01-4636-B526-CD1938279FE9}">
  <sheetPr>
    <tabColor rgb="FFAEAAAA"/>
  </sheetPr>
  <dimension ref="B1:J15"/>
  <sheetViews>
    <sheetView showGridLines="0" zoomScale="70" zoomScaleNormal="70" workbookViewId="0">
      <pane xSplit="2" topLeftCell="C1" activePane="topRight" state="frozen"/>
      <selection pane="topRight" activeCell="I21" sqref="I21"/>
    </sheetView>
  </sheetViews>
  <sheetFormatPr defaultColWidth="9.140625" defaultRowHeight="15" x14ac:dyDescent="0.2"/>
  <cols>
    <col min="1" max="1" width="3.7109375" style="15" customWidth="1"/>
    <col min="2" max="2" width="65.5703125" style="88" customWidth="1"/>
    <col min="3" max="3" width="15.5703125" style="88" customWidth="1"/>
    <col min="4" max="7" width="13.42578125" style="15" customWidth="1"/>
    <col min="8" max="8" width="39.28515625" style="89" customWidth="1"/>
    <col min="9" max="9" width="42.5703125" style="15" customWidth="1"/>
    <col min="10" max="10" width="28" style="90" customWidth="1"/>
    <col min="11" max="16384" width="9.140625" style="15"/>
  </cols>
  <sheetData>
    <row r="1" spans="2:9" ht="23.25" customHeight="1" x14ac:dyDescent="0.2"/>
    <row r="2" spans="2:9" ht="23.25" customHeight="1" x14ac:dyDescent="0.2">
      <c r="B2" s="91"/>
      <c r="C2" s="91"/>
    </row>
    <row r="3" spans="2:9" ht="23.25" customHeight="1" x14ac:dyDescent="0.2">
      <c r="B3" s="88" t="s">
        <v>133</v>
      </c>
    </row>
    <row r="4" spans="2:9" s="92" customFormat="1" ht="23.25" customHeight="1" x14ac:dyDescent="0.25">
      <c r="B4" s="84" t="s">
        <v>103</v>
      </c>
      <c r="C4" s="85" t="s">
        <v>108</v>
      </c>
      <c r="D4" s="85">
        <v>2022</v>
      </c>
      <c r="E4" s="85">
        <v>2023</v>
      </c>
      <c r="F4" s="85">
        <v>2024</v>
      </c>
      <c r="G4" s="86" t="s">
        <v>107</v>
      </c>
      <c r="H4" s="86" t="s">
        <v>109</v>
      </c>
    </row>
    <row r="5" spans="2:9" s="92" customFormat="1" ht="54.75" customHeight="1" x14ac:dyDescent="0.25">
      <c r="B5" s="110" t="s">
        <v>104</v>
      </c>
      <c r="C5" s="58" t="s">
        <v>105</v>
      </c>
      <c r="D5" s="62">
        <v>6278.4938461538459</v>
      </c>
      <c r="E5" s="62">
        <v>5547.1729004329</v>
      </c>
      <c r="F5" s="62">
        <v>5244.1737500000008</v>
      </c>
      <c r="G5" s="103">
        <f>AVERAGE(D5:F5)</f>
        <v>5689.9468321955828</v>
      </c>
      <c r="H5" s="143" t="s">
        <v>118</v>
      </c>
    </row>
    <row r="6" spans="2:9" s="92" customFormat="1" ht="54.75" customHeight="1" x14ac:dyDescent="0.25">
      <c r="B6" s="110"/>
      <c r="C6" s="58" t="s">
        <v>106</v>
      </c>
      <c r="D6" s="83">
        <f>D5*4.1868*10^(-9)*1000</f>
        <v>2.6286798035076924E-2</v>
      </c>
      <c r="E6" s="83">
        <f t="shared" ref="E6" si="0">E5*4.1868*10^(-9)*1000</f>
        <v>2.3224903499532466E-2</v>
      </c>
      <c r="F6" s="83">
        <f>F5*4.1868*10^(-9)*1000</f>
        <v>2.1956306656500005E-2</v>
      </c>
      <c r="G6" s="104">
        <f>AVERAGE(D6:F6)</f>
        <v>2.3822669397036464E-2</v>
      </c>
      <c r="H6" s="144"/>
    </row>
    <row r="7" spans="2:9" s="92" customFormat="1" ht="38.25" customHeight="1" x14ac:dyDescent="0.25">
      <c r="B7" s="110" t="s">
        <v>110</v>
      </c>
      <c r="C7" s="58" t="s">
        <v>111</v>
      </c>
      <c r="D7" s="62">
        <f>'Количество сжигаемого газа'!D8</f>
        <v>61563.6178</v>
      </c>
      <c r="E7" s="62">
        <f>'Количество сжигаемого газа'!D18</f>
        <v>52009.057000000001</v>
      </c>
      <c r="F7" s="62">
        <f>'Количество сжигаемого газа'!D27</f>
        <v>51844.362999999998</v>
      </c>
      <c r="G7" s="103">
        <f>AVERAGE(D7:F7)</f>
        <v>55139.012599999995</v>
      </c>
      <c r="H7" s="143" t="s">
        <v>112</v>
      </c>
    </row>
    <row r="8" spans="2:9" s="92" customFormat="1" ht="38.25" customHeight="1" x14ac:dyDescent="0.25">
      <c r="B8" s="110"/>
      <c r="C8" s="58" t="s">
        <v>20</v>
      </c>
      <c r="D8" s="62">
        <f>'Количество сжигаемого газа'!D9</f>
        <v>2129.0467838171517</v>
      </c>
      <c r="E8" s="62">
        <f>'Количество сжигаемого газа'!D19</f>
        <v>1809.24119118062</v>
      </c>
      <c r="F8" s="62">
        <f>'Количество сжигаемого газа'!D28</f>
        <v>1806.4382554155054</v>
      </c>
      <c r="G8" s="103">
        <f>AVERAGE(D8:F8)</f>
        <v>1914.9087434710925</v>
      </c>
      <c r="H8" s="144"/>
    </row>
    <row r="9" spans="2:9" s="92" customFormat="1" ht="31.5" x14ac:dyDescent="0.25">
      <c r="B9" s="94" t="s">
        <v>113</v>
      </c>
      <c r="C9" s="58" t="s">
        <v>114</v>
      </c>
      <c r="D9" s="93" t="s">
        <v>81</v>
      </c>
      <c r="E9" s="93" t="s">
        <v>81</v>
      </c>
      <c r="F9" s="93" t="s">
        <v>81</v>
      </c>
      <c r="G9" s="103">
        <v>0.25</v>
      </c>
      <c r="H9" s="102" t="s">
        <v>115</v>
      </c>
    </row>
    <row r="12" spans="2:9" ht="23.25" customHeight="1" x14ac:dyDescent="0.2">
      <c r="B12" s="88" t="s">
        <v>116</v>
      </c>
    </row>
    <row r="13" spans="2:9" s="92" customFormat="1" ht="23.25" customHeight="1" x14ac:dyDescent="0.25">
      <c r="B13" s="84" t="s">
        <v>103</v>
      </c>
      <c r="C13" s="85" t="s">
        <v>108</v>
      </c>
      <c r="D13" s="95">
        <v>45962</v>
      </c>
      <c r="E13" s="95">
        <v>45992</v>
      </c>
      <c r="F13" s="95">
        <v>46023</v>
      </c>
      <c r="G13" s="95">
        <v>46054</v>
      </c>
      <c r="H13" s="95">
        <v>46082</v>
      </c>
      <c r="I13" s="86" t="s">
        <v>109</v>
      </c>
    </row>
    <row r="14" spans="2:9" s="92" customFormat="1" ht="54.75" customHeight="1" x14ac:dyDescent="0.25">
      <c r="B14" s="110" t="s">
        <v>117</v>
      </c>
      <c r="C14" s="58" t="s">
        <v>111</v>
      </c>
      <c r="D14" s="62">
        <f>'Количество сжигаемого газа'!Q33+'Количество сжигаемого газа'!Q35</f>
        <v>819.60199999999998</v>
      </c>
      <c r="E14" s="62">
        <f>'Количество сжигаемого газа'!R33+'Количество сжигаемого газа'!R35</f>
        <v>689.952</v>
      </c>
      <c r="F14" s="62">
        <f>'Количество сжигаемого газа'!G42+'Количество сжигаемого газа'!G44</f>
        <v>1394.828</v>
      </c>
      <c r="G14" s="62">
        <f>'Количество сжигаемого газа'!H42+'Количество сжигаемого газа'!H44</f>
        <v>1160.4839999999999</v>
      </c>
      <c r="H14" s="62">
        <f>'Количество сжигаемого газа'!I42+'Количество сжигаемого газа'!I44</f>
        <v>441.86699999999996</v>
      </c>
      <c r="I14" s="108" t="s">
        <v>119</v>
      </c>
    </row>
    <row r="15" spans="2:9" s="92" customFormat="1" ht="54.75" customHeight="1" x14ac:dyDescent="0.25">
      <c r="B15" s="110"/>
      <c r="C15" s="58" t="s">
        <v>20</v>
      </c>
      <c r="D15" s="83">
        <f>D14*$G$6</f>
        <v>19.525107483149878</v>
      </c>
      <c r="E15" s="83">
        <f t="shared" ref="E15:H15" si="1">E14*$G$6</f>
        <v>16.436498395824103</v>
      </c>
      <c r="F15" s="83">
        <f>F14*$G$6</f>
        <v>33.228526309729574</v>
      </c>
      <c r="G15" s="83">
        <f t="shared" si="1"/>
        <v>27.645826672550463</v>
      </c>
      <c r="H15" s="83">
        <f t="shared" si="1"/>
        <v>10.526451458460309</v>
      </c>
      <c r="I15" s="109"/>
    </row>
  </sheetData>
  <mergeCells count="6">
    <mergeCell ref="I14:I15"/>
    <mergeCell ref="B5:B6"/>
    <mergeCell ref="H5:H6"/>
    <mergeCell ref="B7:B8"/>
    <mergeCell ref="H7:H8"/>
    <mergeCell ref="B14:B1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2CAA4-3CC6-4182-95EB-CB1DAF00B587}">
  <sheetPr>
    <tabColor rgb="FFAEAAAA"/>
  </sheetPr>
  <dimension ref="B2:U45"/>
  <sheetViews>
    <sheetView topLeftCell="A28" zoomScale="70" zoomScaleNormal="70" workbookViewId="0">
      <selection activeCell="E63" sqref="E63"/>
    </sheetView>
  </sheetViews>
  <sheetFormatPr defaultRowHeight="15" x14ac:dyDescent="0.25"/>
  <cols>
    <col min="2" max="2" width="43.28515625" customWidth="1"/>
    <col min="3" max="3" width="15.28515625" customWidth="1"/>
    <col min="4" max="4" width="14.140625" customWidth="1"/>
    <col min="5" max="5" width="13.5703125" customWidth="1"/>
    <col min="6" max="6" width="16.5703125" customWidth="1"/>
    <col min="7" max="7" width="12" customWidth="1"/>
    <col min="8" max="8" width="31.42578125" customWidth="1"/>
    <col min="9" max="14" width="12.140625" customWidth="1"/>
    <col min="15" max="15" width="10.42578125" customWidth="1"/>
    <col min="16" max="16" width="10.28515625" customWidth="1"/>
    <col min="17" max="17" width="11.42578125" customWidth="1"/>
    <col min="18" max="18" width="11.85546875" customWidth="1"/>
    <col min="19" max="19" width="12.5703125" customWidth="1"/>
  </cols>
  <sheetData>
    <row r="2" spans="2:21" ht="22.15" customHeight="1" x14ac:dyDescent="0.25">
      <c r="B2" s="61" t="s">
        <v>82</v>
      </c>
    </row>
    <row r="3" spans="2:21" ht="15.75" x14ac:dyDescent="0.25">
      <c r="B3" s="75"/>
      <c r="C3" s="75"/>
      <c r="D3" s="75"/>
      <c r="E3" s="76" t="s">
        <v>83</v>
      </c>
      <c r="F3" s="77" t="s">
        <v>69</v>
      </c>
      <c r="G3" s="77" t="s">
        <v>29</v>
      </c>
      <c r="H3" s="77" t="s">
        <v>30</v>
      </c>
      <c r="I3" s="77" t="s">
        <v>31</v>
      </c>
      <c r="J3" s="77" t="s">
        <v>32</v>
      </c>
      <c r="K3" s="77" t="s">
        <v>33</v>
      </c>
      <c r="L3" s="77" t="s">
        <v>34</v>
      </c>
      <c r="M3" s="77" t="s">
        <v>21</v>
      </c>
      <c r="N3" s="77" t="s">
        <v>35</v>
      </c>
      <c r="O3" s="77" t="s">
        <v>23</v>
      </c>
      <c r="P3" s="77" t="s">
        <v>24</v>
      </c>
      <c r="Q3" s="77" t="s">
        <v>25</v>
      </c>
      <c r="R3" s="77" t="s">
        <v>26</v>
      </c>
      <c r="S3" s="78" t="s">
        <v>70</v>
      </c>
    </row>
    <row r="4" spans="2:21" ht="30" customHeight="1" x14ac:dyDescent="0.25">
      <c r="B4" s="79" t="s">
        <v>88</v>
      </c>
      <c r="C4" s="73" t="s">
        <v>71</v>
      </c>
      <c r="D4" s="73" t="s">
        <v>72</v>
      </c>
      <c r="E4" s="73" t="s">
        <v>73</v>
      </c>
      <c r="F4" s="58" t="s">
        <v>74</v>
      </c>
      <c r="G4" s="62">
        <v>4181.28</v>
      </c>
      <c r="H4" s="62">
        <v>2826.797</v>
      </c>
      <c r="I4" s="62">
        <v>4709.1059999999998</v>
      </c>
      <c r="J4" s="62">
        <v>1166.798</v>
      </c>
      <c r="K4" s="62">
        <v>4316.0290000000005</v>
      </c>
      <c r="L4" s="62">
        <v>3073.6958</v>
      </c>
      <c r="M4" s="62">
        <v>3151.31</v>
      </c>
      <c r="N4" s="62">
        <v>3189.0374999999999</v>
      </c>
      <c r="O4" s="62">
        <v>56.627299999999998</v>
      </c>
      <c r="P4" s="62">
        <v>45.450600000000001</v>
      </c>
      <c r="Q4" s="62">
        <v>2202.1875</v>
      </c>
      <c r="R4" s="62">
        <v>4010.3928999999998</v>
      </c>
      <c r="S4" s="63">
        <f>SUM(G4:R4)</f>
        <v>32928.711600000002</v>
      </c>
    </row>
    <row r="5" spans="2:21" ht="45" customHeight="1" x14ac:dyDescent="0.25">
      <c r="B5" s="79" t="s">
        <v>76</v>
      </c>
      <c r="C5" s="73" t="s">
        <v>77</v>
      </c>
      <c r="D5" s="73" t="s">
        <v>78</v>
      </c>
      <c r="E5" s="73" t="s">
        <v>73</v>
      </c>
      <c r="F5" s="58" t="s">
        <v>74</v>
      </c>
      <c r="G5" s="62">
        <v>3534</v>
      </c>
      <c r="H5" s="62">
        <v>2970.8960000000002</v>
      </c>
      <c r="I5" s="62">
        <v>3532.73</v>
      </c>
      <c r="J5" s="62">
        <v>1044.2349999999999</v>
      </c>
      <c r="K5" s="62">
        <v>3119.7469999999998</v>
      </c>
      <c r="L5" s="62">
        <v>2924.8670000000002</v>
      </c>
      <c r="M5" s="62">
        <v>2914.2797999999998</v>
      </c>
      <c r="N5" s="62">
        <v>2755.3380999999999</v>
      </c>
      <c r="O5" s="62">
        <v>7.3048999999999999</v>
      </c>
      <c r="P5" s="62">
        <v>458.76560000000001</v>
      </c>
      <c r="Q5" s="62">
        <v>2484.0526</v>
      </c>
      <c r="R5" s="62">
        <v>2888.6902</v>
      </c>
      <c r="S5" s="63">
        <f t="shared" ref="S5" si="0">SUM(G5:R5)</f>
        <v>28634.906199999998</v>
      </c>
    </row>
    <row r="6" spans="2:21" ht="30" x14ac:dyDescent="0.25">
      <c r="B6" s="80" t="s">
        <v>79</v>
      </c>
      <c r="C6" s="59" t="s">
        <v>80</v>
      </c>
      <c r="D6" s="59" t="s">
        <v>81</v>
      </c>
      <c r="E6" s="60" t="s">
        <v>73</v>
      </c>
      <c r="F6" s="58" t="s">
        <v>74</v>
      </c>
      <c r="G6" s="62">
        <v>74.400000000000006</v>
      </c>
      <c r="H6" s="62">
        <v>65.986999999999995</v>
      </c>
      <c r="I6" s="62">
        <v>72.424000000000007</v>
      </c>
      <c r="J6" s="62">
        <v>70.819000000000003</v>
      </c>
      <c r="K6" s="62">
        <v>626.721</v>
      </c>
      <c r="L6" s="62">
        <v>372.084</v>
      </c>
      <c r="M6" s="62">
        <v>356.80099999999999</v>
      </c>
      <c r="N6" s="62">
        <v>366.09</v>
      </c>
      <c r="O6" s="62">
        <v>98.11</v>
      </c>
      <c r="P6" s="62">
        <v>263.505</v>
      </c>
      <c r="Q6" s="62">
        <v>1440</v>
      </c>
      <c r="R6" s="62">
        <v>391.03899999999999</v>
      </c>
      <c r="S6" s="63">
        <f t="shared" ref="S6" si="1">SUM(G6:R6)</f>
        <v>4197.9799999999996</v>
      </c>
    </row>
    <row r="8" spans="2:21" x14ac:dyDescent="0.25">
      <c r="B8" s="111" t="s">
        <v>102</v>
      </c>
      <c r="C8" s="58" t="s">
        <v>74</v>
      </c>
      <c r="D8" s="81">
        <f>SUM(S4+S5)</f>
        <v>61563.6178</v>
      </c>
      <c r="U8" s="87"/>
    </row>
    <row r="9" spans="2:21" x14ac:dyDescent="0.25">
      <c r="B9" s="111"/>
      <c r="C9" s="58" t="s">
        <v>20</v>
      </c>
      <c r="D9" s="81">
        <f>D8*'Природный газ'!P8</f>
        <v>2129.0467838171517</v>
      </c>
      <c r="U9" s="87"/>
    </row>
    <row r="10" spans="2:21" x14ac:dyDescent="0.25">
      <c r="D10" s="82"/>
    </row>
    <row r="12" spans="2:21" x14ac:dyDescent="0.25">
      <c r="B12" s="61" t="s">
        <v>84</v>
      </c>
    </row>
    <row r="13" spans="2:21" ht="15.75" x14ac:dyDescent="0.25">
      <c r="B13" s="75"/>
      <c r="C13" s="57"/>
      <c r="D13" s="57"/>
      <c r="E13" s="76" t="s">
        <v>83</v>
      </c>
      <c r="F13" s="77" t="s">
        <v>69</v>
      </c>
      <c r="G13" s="77" t="s">
        <v>29</v>
      </c>
      <c r="H13" s="77" t="s">
        <v>30</v>
      </c>
      <c r="I13" s="77" t="s">
        <v>31</v>
      </c>
      <c r="J13" s="77" t="s">
        <v>32</v>
      </c>
      <c r="K13" s="77" t="s">
        <v>33</v>
      </c>
      <c r="L13" s="77" t="s">
        <v>34</v>
      </c>
      <c r="M13" s="77" t="s">
        <v>21</v>
      </c>
      <c r="N13" s="77" t="s">
        <v>35</v>
      </c>
      <c r="O13" s="77" t="s">
        <v>23</v>
      </c>
      <c r="P13" s="77" t="s">
        <v>24</v>
      </c>
      <c r="Q13" s="77" t="s">
        <v>25</v>
      </c>
      <c r="R13" s="77" t="s">
        <v>26</v>
      </c>
      <c r="S13" s="78" t="s">
        <v>70</v>
      </c>
    </row>
    <row r="14" spans="2:21" ht="31.5" x14ac:dyDescent="0.25">
      <c r="B14" s="79" t="s">
        <v>88</v>
      </c>
      <c r="C14" s="73" t="s">
        <v>71</v>
      </c>
      <c r="D14" s="73" t="s">
        <v>72</v>
      </c>
      <c r="E14" s="73" t="s">
        <v>73</v>
      </c>
      <c r="F14" s="58" t="s">
        <v>74</v>
      </c>
      <c r="G14" s="62">
        <v>3950.6390000000001</v>
      </c>
      <c r="H14" s="62">
        <v>3072.3939999999998</v>
      </c>
      <c r="I14" s="62">
        <v>3687.9470000000001</v>
      </c>
      <c r="J14" s="62">
        <v>3504.498</v>
      </c>
      <c r="K14" s="62">
        <v>3597.1669000000002</v>
      </c>
      <c r="L14" s="62">
        <v>3258.2853</v>
      </c>
      <c r="M14" s="62">
        <v>3456.6069000000002</v>
      </c>
      <c r="N14" s="62">
        <v>3662.2280000000001</v>
      </c>
      <c r="O14" s="62">
        <v>582.69500000000005</v>
      </c>
      <c r="P14" s="62">
        <v>0</v>
      </c>
      <c r="Q14" s="62">
        <v>0</v>
      </c>
      <c r="R14" s="62">
        <v>371.28930000000003</v>
      </c>
      <c r="S14" s="63">
        <f t="shared" ref="S14:S16" si="2">SUM(G14:R14)</f>
        <v>29143.749399999997</v>
      </c>
    </row>
    <row r="15" spans="2:21" ht="47.25" x14ac:dyDescent="0.25">
      <c r="B15" s="79" t="s">
        <v>76</v>
      </c>
      <c r="C15" s="73" t="s">
        <v>77</v>
      </c>
      <c r="D15" s="73" t="s">
        <v>78</v>
      </c>
      <c r="E15" s="73" t="s">
        <v>73</v>
      </c>
      <c r="F15" s="58" t="s">
        <v>74</v>
      </c>
      <c r="G15" s="62">
        <v>2722.0266000000001</v>
      </c>
      <c r="H15" s="62">
        <v>2097.1790000000001</v>
      </c>
      <c r="I15" s="62">
        <v>2519.3780000000002</v>
      </c>
      <c r="J15" s="62">
        <v>2446.9216000000001</v>
      </c>
      <c r="K15" s="62">
        <v>2481.0704999999998</v>
      </c>
      <c r="L15" s="62">
        <v>2639.5428999999999</v>
      </c>
      <c r="M15" s="62">
        <v>2836.7710000000002</v>
      </c>
      <c r="N15" s="62">
        <v>2991.7507000000001</v>
      </c>
      <c r="O15" s="62">
        <v>329.15179999999998</v>
      </c>
      <c r="P15" s="62">
        <v>0</v>
      </c>
      <c r="Q15" s="62">
        <v>0</v>
      </c>
      <c r="R15" s="62">
        <v>1801.5155</v>
      </c>
      <c r="S15" s="63">
        <f t="shared" si="2"/>
        <v>22865.3076</v>
      </c>
    </row>
    <row r="16" spans="2:21" ht="30" x14ac:dyDescent="0.25">
      <c r="B16" s="80" t="s">
        <v>79</v>
      </c>
      <c r="C16" s="59" t="s">
        <v>80</v>
      </c>
      <c r="D16" s="59" t="s">
        <v>81</v>
      </c>
      <c r="E16" s="60" t="s">
        <v>73</v>
      </c>
      <c r="F16" s="58" t="s">
        <v>74</v>
      </c>
      <c r="G16" s="62">
        <v>1041.5999999999999</v>
      </c>
      <c r="H16" s="62">
        <v>940.8</v>
      </c>
      <c r="I16" s="62">
        <v>1041.5999999999999</v>
      </c>
      <c r="J16" s="62">
        <v>1008</v>
      </c>
      <c r="K16" s="62">
        <v>1041.5999999999999</v>
      </c>
      <c r="L16" s="62">
        <v>1008</v>
      </c>
      <c r="M16" s="62">
        <v>1041.5999999999999</v>
      </c>
      <c r="N16" s="62">
        <v>1041.5999999999999</v>
      </c>
      <c r="O16" s="62">
        <v>558.64099999999996</v>
      </c>
      <c r="P16" s="62">
        <v>409.13499999999999</v>
      </c>
      <c r="Q16" s="62">
        <v>1008</v>
      </c>
      <c r="R16" s="62">
        <v>0</v>
      </c>
      <c r="S16" s="63">
        <f t="shared" si="2"/>
        <v>10140.576000000001</v>
      </c>
    </row>
    <row r="18" spans="2:19" x14ac:dyDescent="0.25">
      <c r="B18" s="111" t="s">
        <v>102</v>
      </c>
      <c r="C18" s="58" t="s">
        <v>74</v>
      </c>
      <c r="D18" s="81">
        <f>SUM(S14+S15)</f>
        <v>52009.057000000001</v>
      </c>
    </row>
    <row r="19" spans="2:19" x14ac:dyDescent="0.25">
      <c r="B19" s="111"/>
      <c r="C19" s="58" t="s">
        <v>20</v>
      </c>
      <c r="D19" s="81">
        <f>D18*'Природный газ'!P27</f>
        <v>1809.24119118062</v>
      </c>
    </row>
    <row r="21" spans="2:19" x14ac:dyDescent="0.25">
      <c r="B21" s="61" t="s">
        <v>85</v>
      </c>
    </row>
    <row r="22" spans="2:19" ht="15.75" x14ac:dyDescent="0.25">
      <c r="B22" s="75"/>
      <c r="C22" s="57"/>
      <c r="D22" s="57"/>
      <c r="E22" s="76" t="s">
        <v>83</v>
      </c>
      <c r="F22" s="77" t="s">
        <v>69</v>
      </c>
      <c r="G22" s="77" t="s">
        <v>29</v>
      </c>
      <c r="H22" s="77" t="s">
        <v>30</v>
      </c>
      <c r="I22" s="77" t="s">
        <v>31</v>
      </c>
      <c r="J22" s="77" t="s">
        <v>32</v>
      </c>
      <c r="K22" s="77" t="s">
        <v>33</v>
      </c>
      <c r="L22" s="77" t="s">
        <v>34</v>
      </c>
      <c r="M22" s="77" t="s">
        <v>21</v>
      </c>
      <c r="N22" s="77" t="s">
        <v>35</v>
      </c>
      <c r="O22" s="77" t="s">
        <v>23</v>
      </c>
      <c r="P22" s="77" t="s">
        <v>24</v>
      </c>
      <c r="Q22" s="77" t="s">
        <v>25</v>
      </c>
      <c r="R22" s="77" t="s">
        <v>26</v>
      </c>
      <c r="S22" s="78" t="s">
        <v>70</v>
      </c>
    </row>
    <row r="23" spans="2:19" ht="15.75" customHeight="1" x14ac:dyDescent="0.25">
      <c r="B23" s="79" t="s">
        <v>88</v>
      </c>
      <c r="C23" s="73" t="s">
        <v>71</v>
      </c>
      <c r="D23" s="73" t="s">
        <v>72</v>
      </c>
      <c r="E23" s="73" t="s">
        <v>73</v>
      </c>
      <c r="F23" s="58" t="s">
        <v>74</v>
      </c>
      <c r="G23" s="62">
        <v>1977.8040000000001</v>
      </c>
      <c r="H23" s="62">
        <v>4249.7142000000003</v>
      </c>
      <c r="I23" s="62">
        <v>4447.7290000000003</v>
      </c>
      <c r="J23" s="62">
        <v>3820.8425999999999</v>
      </c>
      <c r="K23" s="62">
        <v>64.346800000000002</v>
      </c>
      <c r="L23" s="62">
        <v>0</v>
      </c>
      <c r="M23" s="62">
        <v>28.228999999999999</v>
      </c>
      <c r="N23" s="62">
        <v>1607.338</v>
      </c>
      <c r="O23" s="62">
        <v>2367.576</v>
      </c>
      <c r="P23" s="62">
        <v>2037.4989</v>
      </c>
      <c r="Q23" s="62">
        <v>2428.386</v>
      </c>
      <c r="R23" s="62">
        <v>3989.9834999999998</v>
      </c>
      <c r="S23" s="63">
        <f t="shared" ref="S23:S25" si="3">SUM(G23:R23)</f>
        <v>27019.447999999997</v>
      </c>
    </row>
    <row r="24" spans="2:19" ht="47.25" x14ac:dyDescent="0.25">
      <c r="B24" s="79" t="s">
        <v>76</v>
      </c>
      <c r="C24" s="73" t="s">
        <v>77</v>
      </c>
      <c r="D24" s="73" t="s">
        <v>78</v>
      </c>
      <c r="E24" s="73" t="s">
        <v>73</v>
      </c>
      <c r="F24" s="58" t="s">
        <v>74</v>
      </c>
      <c r="G24" s="62">
        <v>1715.6184000000001</v>
      </c>
      <c r="H24" s="62">
        <v>2736.8350999999998</v>
      </c>
      <c r="I24" s="62">
        <v>3193.835</v>
      </c>
      <c r="J24" s="62">
        <v>2987.7465000000002</v>
      </c>
      <c r="K24" s="62">
        <v>1917.0299</v>
      </c>
      <c r="L24" s="62">
        <v>0</v>
      </c>
      <c r="M24" s="62">
        <v>10.907999999999999</v>
      </c>
      <c r="N24" s="62">
        <v>2472.4940000000001</v>
      </c>
      <c r="O24" s="62">
        <v>2537.8879999999999</v>
      </c>
      <c r="P24" s="62">
        <v>2241.9299999999998</v>
      </c>
      <c r="Q24" s="62">
        <v>2021.808</v>
      </c>
      <c r="R24" s="62">
        <v>2988.8220999999999</v>
      </c>
      <c r="S24" s="63">
        <f t="shared" si="3"/>
        <v>24824.915000000001</v>
      </c>
    </row>
    <row r="25" spans="2:19" ht="30" x14ac:dyDescent="0.25">
      <c r="B25" s="80" t="s">
        <v>79</v>
      </c>
      <c r="C25" s="59" t="s">
        <v>80</v>
      </c>
      <c r="D25" s="59" t="s">
        <v>81</v>
      </c>
      <c r="E25" s="60" t="s">
        <v>73</v>
      </c>
      <c r="F25" s="58" t="s">
        <v>74</v>
      </c>
      <c r="G25" s="62">
        <v>1041.5999999999999</v>
      </c>
      <c r="H25" s="62">
        <v>974.4</v>
      </c>
      <c r="I25" s="62">
        <v>1041.5999999999999</v>
      </c>
      <c r="J25" s="62">
        <v>1008</v>
      </c>
      <c r="K25" s="62">
        <v>1041.5999999999999</v>
      </c>
      <c r="L25" s="62">
        <v>865.11</v>
      </c>
      <c r="M25" s="62">
        <v>135.93299999999999</v>
      </c>
      <c r="N25" s="62">
        <v>1041.5999999999999</v>
      </c>
      <c r="O25" s="62">
        <v>1008</v>
      </c>
      <c r="P25" s="62">
        <v>885.36</v>
      </c>
      <c r="Q25" s="62">
        <v>1008</v>
      </c>
      <c r="R25" s="62">
        <v>1041.5999999999999</v>
      </c>
      <c r="S25" s="63">
        <f t="shared" si="3"/>
        <v>11092.803</v>
      </c>
    </row>
    <row r="27" spans="2:19" x14ac:dyDescent="0.25">
      <c r="B27" s="111" t="s">
        <v>102</v>
      </c>
      <c r="C27" s="58" t="s">
        <v>74</v>
      </c>
      <c r="D27" s="81">
        <f>SUM(S23+S24)</f>
        <v>51844.362999999998</v>
      </c>
    </row>
    <row r="28" spans="2:19" x14ac:dyDescent="0.25">
      <c r="B28" s="111"/>
      <c r="C28" s="58" t="s">
        <v>20</v>
      </c>
      <c r="D28" s="81">
        <f>D27*'Природный газ'!P46</f>
        <v>1806.4382554155054</v>
      </c>
    </row>
    <row r="29" spans="2:19" ht="15.75" customHeight="1" x14ac:dyDescent="0.25"/>
    <row r="30" spans="2:19" x14ac:dyDescent="0.25">
      <c r="B30" s="61" t="s">
        <v>86</v>
      </c>
    </row>
    <row r="31" spans="2:19" ht="15.75" x14ac:dyDescent="0.25">
      <c r="B31" s="75"/>
      <c r="C31" s="75"/>
      <c r="D31" s="75"/>
      <c r="E31" s="76" t="s">
        <v>83</v>
      </c>
      <c r="F31" s="77" t="s">
        <v>69</v>
      </c>
      <c r="G31" s="77" t="s">
        <v>29</v>
      </c>
      <c r="H31" s="77" t="s">
        <v>30</v>
      </c>
      <c r="I31" s="77" t="s">
        <v>31</v>
      </c>
      <c r="J31" s="77" t="s">
        <v>32</v>
      </c>
      <c r="K31" s="77" t="s">
        <v>33</v>
      </c>
      <c r="L31" s="77" t="s">
        <v>34</v>
      </c>
      <c r="M31" s="77" t="s">
        <v>21</v>
      </c>
      <c r="N31" s="77" t="s">
        <v>35</v>
      </c>
      <c r="O31" s="77" t="s">
        <v>23</v>
      </c>
      <c r="P31" s="77" t="s">
        <v>24</v>
      </c>
      <c r="Q31" s="77" t="s">
        <v>25</v>
      </c>
      <c r="R31" s="77" t="s">
        <v>26</v>
      </c>
      <c r="S31" s="78" t="s">
        <v>70</v>
      </c>
    </row>
    <row r="32" spans="2:19" ht="30" x14ac:dyDescent="0.25">
      <c r="B32" s="116" t="s">
        <v>88</v>
      </c>
      <c r="C32" s="118" t="s">
        <v>71</v>
      </c>
      <c r="D32" s="59" t="s">
        <v>72</v>
      </c>
      <c r="E32" s="60" t="s">
        <v>73</v>
      </c>
      <c r="F32" s="58" t="s">
        <v>74</v>
      </c>
      <c r="G32" s="62">
        <v>4507.0441000000001</v>
      </c>
      <c r="H32" s="62">
        <v>3952.9</v>
      </c>
      <c r="I32" s="62">
        <v>3921.1754000000001</v>
      </c>
      <c r="J32" s="62">
        <v>3531.4218999999998</v>
      </c>
      <c r="K32" s="62">
        <v>3186.8285000000001</v>
      </c>
      <c r="L32" s="62">
        <v>2103.1660000000002</v>
      </c>
      <c r="M32" s="62">
        <v>0</v>
      </c>
      <c r="N32" s="62">
        <v>0</v>
      </c>
      <c r="O32" s="62">
        <v>0</v>
      </c>
      <c r="P32" s="62">
        <v>804.82050000000004</v>
      </c>
      <c r="Q32" s="62">
        <v>2356.3850000000002</v>
      </c>
      <c r="R32" s="62">
        <v>2278.0441999999998</v>
      </c>
      <c r="S32" s="63">
        <f t="shared" ref="S32:S36" si="4">SUM(G32:R32)</f>
        <v>26641.785600000007</v>
      </c>
    </row>
    <row r="33" spans="2:19" ht="45" x14ac:dyDescent="0.25">
      <c r="B33" s="117"/>
      <c r="C33" s="119"/>
      <c r="D33" s="59" t="s">
        <v>122</v>
      </c>
      <c r="E33" s="60" t="s">
        <v>75</v>
      </c>
      <c r="F33" s="58" t="s">
        <v>74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423.42399999999998</v>
      </c>
      <c r="R33" s="62">
        <v>229.36699999999999</v>
      </c>
      <c r="S33" s="63">
        <f t="shared" si="4"/>
        <v>652.79099999999994</v>
      </c>
    </row>
    <row r="34" spans="2:19" ht="45" customHeight="1" x14ac:dyDescent="0.25">
      <c r="B34" s="116" t="s">
        <v>76</v>
      </c>
      <c r="C34" s="118" t="s">
        <v>77</v>
      </c>
      <c r="D34" s="59" t="s">
        <v>78</v>
      </c>
      <c r="E34" s="60" t="s">
        <v>73</v>
      </c>
      <c r="F34" s="58" t="s">
        <v>74</v>
      </c>
      <c r="G34" s="62">
        <v>3390.3674999999998</v>
      </c>
      <c r="H34" s="62">
        <v>2705.9569999999999</v>
      </c>
      <c r="I34" s="62">
        <v>2774.6707999999999</v>
      </c>
      <c r="J34" s="62">
        <v>2505.4036999999998</v>
      </c>
      <c r="K34" s="62">
        <v>2914.9906999999998</v>
      </c>
      <c r="L34" s="62">
        <v>1676.6441</v>
      </c>
      <c r="M34" s="62">
        <v>0</v>
      </c>
      <c r="N34" s="62">
        <v>0</v>
      </c>
      <c r="O34" s="62">
        <v>0</v>
      </c>
      <c r="P34" s="62">
        <v>772.29549999999995</v>
      </c>
      <c r="Q34" s="62">
        <v>1447.4223</v>
      </c>
      <c r="R34" s="62">
        <v>1590.4450999999999</v>
      </c>
      <c r="S34" s="63">
        <f t="shared" si="4"/>
        <v>19778.196699999997</v>
      </c>
    </row>
    <row r="35" spans="2:19" ht="45" x14ac:dyDescent="0.25">
      <c r="B35" s="117"/>
      <c r="C35" s="119"/>
      <c r="D35" s="102" t="s">
        <v>123</v>
      </c>
      <c r="E35" s="60" t="s">
        <v>75</v>
      </c>
      <c r="F35" s="58" t="s">
        <v>74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396.178</v>
      </c>
      <c r="R35" s="62">
        <v>460.58499999999998</v>
      </c>
      <c r="S35" s="63">
        <f t="shared" si="4"/>
        <v>856.76299999999992</v>
      </c>
    </row>
    <row r="36" spans="2:19" ht="30" customHeight="1" x14ac:dyDescent="0.25">
      <c r="B36" s="80" t="s">
        <v>79</v>
      </c>
      <c r="C36" s="59" t="s">
        <v>80</v>
      </c>
      <c r="D36" s="59" t="s">
        <v>81</v>
      </c>
      <c r="E36" s="60" t="s">
        <v>73</v>
      </c>
      <c r="F36" s="58" t="s">
        <v>74</v>
      </c>
      <c r="G36" s="62">
        <v>1041.5999999999999</v>
      </c>
      <c r="H36" s="62">
        <v>974.4</v>
      </c>
      <c r="I36" s="62">
        <v>1041.5999999999999</v>
      </c>
      <c r="J36" s="62">
        <v>1008</v>
      </c>
      <c r="K36" s="62">
        <v>1041.5999999999999</v>
      </c>
      <c r="L36" s="62">
        <v>865.11</v>
      </c>
      <c r="M36" s="62">
        <v>135.93299999999999</v>
      </c>
      <c r="N36" s="62">
        <v>1041.5999999999999</v>
      </c>
      <c r="O36" s="62">
        <v>1008</v>
      </c>
      <c r="P36" s="62">
        <v>885.36</v>
      </c>
      <c r="Q36" s="62">
        <v>1008</v>
      </c>
      <c r="R36" s="62">
        <v>1041.5999999999999</v>
      </c>
      <c r="S36" s="63">
        <f t="shared" si="4"/>
        <v>11092.803</v>
      </c>
    </row>
    <row r="39" spans="2:19" x14ac:dyDescent="0.25">
      <c r="B39" s="61" t="s">
        <v>87</v>
      </c>
    </row>
    <row r="40" spans="2:19" ht="15.75" x14ac:dyDescent="0.25">
      <c r="B40" s="57"/>
      <c r="C40" s="57"/>
      <c r="D40" s="57"/>
      <c r="E40" s="76" t="s">
        <v>83</v>
      </c>
      <c r="F40" s="77" t="s">
        <v>69</v>
      </c>
      <c r="G40" s="77" t="s">
        <v>29</v>
      </c>
      <c r="H40" s="77" t="s">
        <v>30</v>
      </c>
      <c r="I40" s="77" t="s">
        <v>31</v>
      </c>
      <c r="J40" s="77" t="s">
        <v>32</v>
      </c>
      <c r="K40" s="77" t="s">
        <v>33</v>
      </c>
      <c r="L40" s="77" t="s">
        <v>34</v>
      </c>
      <c r="M40" s="77" t="s">
        <v>21</v>
      </c>
      <c r="N40" s="77" t="s">
        <v>35</v>
      </c>
      <c r="O40" s="77" t="s">
        <v>23</v>
      </c>
      <c r="P40" s="77" t="s">
        <v>24</v>
      </c>
      <c r="Q40" s="77" t="s">
        <v>25</v>
      </c>
      <c r="R40" s="77" t="s">
        <v>26</v>
      </c>
      <c r="S40" s="78" t="s">
        <v>70</v>
      </c>
    </row>
    <row r="41" spans="2:19" ht="30" x14ac:dyDescent="0.25">
      <c r="B41" s="112" t="s">
        <v>88</v>
      </c>
      <c r="C41" s="118" t="s">
        <v>71</v>
      </c>
      <c r="D41" s="59" t="s">
        <v>72</v>
      </c>
      <c r="E41" s="60" t="s">
        <v>73</v>
      </c>
      <c r="F41" s="58" t="s">
        <v>74</v>
      </c>
      <c r="G41" s="62">
        <v>2177.9225999999999</v>
      </c>
      <c r="H41" s="62">
        <v>1874.7896000000001</v>
      </c>
      <c r="I41" s="62">
        <v>828.84231</v>
      </c>
      <c r="J41" s="58" t="s">
        <v>81</v>
      </c>
      <c r="K41" s="58" t="s">
        <v>81</v>
      </c>
      <c r="L41" s="58" t="s">
        <v>81</v>
      </c>
      <c r="M41" s="58" t="s">
        <v>81</v>
      </c>
      <c r="N41" s="58" t="s">
        <v>81</v>
      </c>
      <c r="O41" s="58" t="s">
        <v>81</v>
      </c>
      <c r="P41" s="58" t="s">
        <v>81</v>
      </c>
      <c r="Q41" s="58" t="s">
        <v>81</v>
      </c>
      <c r="R41" s="58" t="s">
        <v>81</v>
      </c>
      <c r="S41" s="63">
        <f t="shared" ref="S41:S45" si="5">SUM(G41:R41)</f>
        <v>4881.5545099999999</v>
      </c>
    </row>
    <row r="42" spans="2:19" ht="45" x14ac:dyDescent="0.25">
      <c r="B42" s="113"/>
      <c r="C42" s="119"/>
      <c r="D42" s="59" t="s">
        <v>122</v>
      </c>
      <c r="E42" s="60" t="s">
        <v>75</v>
      </c>
      <c r="F42" s="58" t="s">
        <v>74</v>
      </c>
      <c r="G42" s="62">
        <v>591.07600000000002</v>
      </c>
      <c r="H42" s="62">
        <v>523.19299999999998</v>
      </c>
      <c r="I42" s="62">
        <v>184.727</v>
      </c>
      <c r="J42" s="58" t="s">
        <v>81</v>
      </c>
      <c r="K42" s="58" t="s">
        <v>81</v>
      </c>
      <c r="L42" s="58" t="s">
        <v>81</v>
      </c>
      <c r="M42" s="58" t="s">
        <v>81</v>
      </c>
      <c r="N42" s="58" t="s">
        <v>81</v>
      </c>
      <c r="O42" s="58" t="s">
        <v>81</v>
      </c>
      <c r="P42" s="58" t="s">
        <v>81</v>
      </c>
      <c r="Q42" s="58" t="s">
        <v>81</v>
      </c>
      <c r="R42" s="58" t="s">
        <v>81</v>
      </c>
      <c r="S42" s="63">
        <f t="shared" si="5"/>
        <v>1298.9960000000001</v>
      </c>
    </row>
    <row r="43" spans="2:19" ht="45" customHeight="1" x14ac:dyDescent="0.25">
      <c r="B43" s="112" t="s">
        <v>76</v>
      </c>
      <c r="C43" s="114" t="s">
        <v>77</v>
      </c>
      <c r="D43" s="59" t="s">
        <v>78</v>
      </c>
      <c r="E43" s="60" t="s">
        <v>73</v>
      </c>
      <c r="F43" s="58" t="s">
        <v>74</v>
      </c>
      <c r="G43" s="62">
        <v>1535.028</v>
      </c>
      <c r="H43" s="62">
        <v>1444.0101999999999</v>
      </c>
      <c r="I43" s="62">
        <v>529.92660000000001</v>
      </c>
      <c r="J43" s="58" t="s">
        <v>81</v>
      </c>
      <c r="K43" s="58" t="s">
        <v>81</v>
      </c>
      <c r="L43" s="58" t="s">
        <v>81</v>
      </c>
      <c r="M43" s="58" t="s">
        <v>81</v>
      </c>
      <c r="N43" s="58" t="s">
        <v>81</v>
      </c>
      <c r="O43" s="58" t="s">
        <v>81</v>
      </c>
      <c r="P43" s="58" t="s">
        <v>81</v>
      </c>
      <c r="Q43" s="58" t="s">
        <v>81</v>
      </c>
      <c r="R43" s="58" t="s">
        <v>81</v>
      </c>
      <c r="S43" s="63">
        <f t="shared" si="5"/>
        <v>3508.9647999999997</v>
      </c>
    </row>
    <row r="44" spans="2:19" ht="45" x14ac:dyDescent="0.25">
      <c r="B44" s="113"/>
      <c r="C44" s="115"/>
      <c r="D44" s="102" t="s">
        <v>123</v>
      </c>
      <c r="E44" s="60" t="s">
        <v>75</v>
      </c>
      <c r="F44" s="58" t="s">
        <v>74</v>
      </c>
      <c r="G44" s="62">
        <v>803.75199999999995</v>
      </c>
      <c r="H44" s="62">
        <v>637.29100000000005</v>
      </c>
      <c r="I44" s="62">
        <v>257.14</v>
      </c>
      <c r="J44" s="58" t="s">
        <v>81</v>
      </c>
      <c r="K44" s="58" t="s">
        <v>81</v>
      </c>
      <c r="L44" s="58" t="s">
        <v>81</v>
      </c>
      <c r="M44" s="58" t="s">
        <v>81</v>
      </c>
      <c r="N44" s="58" t="s">
        <v>81</v>
      </c>
      <c r="O44" s="58" t="s">
        <v>81</v>
      </c>
      <c r="P44" s="58" t="s">
        <v>81</v>
      </c>
      <c r="Q44" s="58" t="s">
        <v>81</v>
      </c>
      <c r="R44" s="58" t="s">
        <v>81</v>
      </c>
      <c r="S44" s="63">
        <f t="shared" si="5"/>
        <v>1698.183</v>
      </c>
    </row>
    <row r="45" spans="2:19" ht="30" x14ac:dyDescent="0.25">
      <c r="B45" s="80" t="s">
        <v>79</v>
      </c>
      <c r="C45" s="59" t="s">
        <v>80</v>
      </c>
      <c r="D45" s="59" t="s">
        <v>81</v>
      </c>
      <c r="E45" s="60" t="s">
        <v>73</v>
      </c>
      <c r="F45" s="58" t="s">
        <v>74</v>
      </c>
      <c r="G45" s="62">
        <v>928.26300000000003</v>
      </c>
      <c r="H45" s="62">
        <v>838.56100000000004</v>
      </c>
      <c r="I45" s="62">
        <v>926.51900000000001</v>
      </c>
      <c r="J45" s="58" t="s">
        <v>81</v>
      </c>
      <c r="K45" s="58" t="s">
        <v>81</v>
      </c>
      <c r="L45" s="58" t="s">
        <v>81</v>
      </c>
      <c r="M45" s="58" t="s">
        <v>81</v>
      </c>
      <c r="N45" s="58" t="s">
        <v>81</v>
      </c>
      <c r="O45" s="58" t="s">
        <v>81</v>
      </c>
      <c r="P45" s="58" t="s">
        <v>81</v>
      </c>
      <c r="Q45" s="58" t="s">
        <v>81</v>
      </c>
      <c r="R45" s="58" t="s">
        <v>81</v>
      </c>
      <c r="S45" s="63">
        <f t="shared" si="5"/>
        <v>2693.3429999999998</v>
      </c>
    </row>
  </sheetData>
  <mergeCells count="11">
    <mergeCell ref="B18:B19"/>
    <mergeCell ref="B27:B28"/>
    <mergeCell ref="B8:B9"/>
    <mergeCell ref="B43:B44"/>
    <mergeCell ref="C43:C44"/>
    <mergeCell ref="B34:B35"/>
    <mergeCell ref="C34:C35"/>
    <mergeCell ref="C32:C33"/>
    <mergeCell ref="B32:B33"/>
    <mergeCell ref="B41:B42"/>
    <mergeCell ref="C41:C4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252E3-B1D1-4F98-9D70-728CA7BD5B24}">
  <sheetPr>
    <tabColor rgb="FFAEAAAA"/>
  </sheetPr>
  <dimension ref="B2:L33"/>
  <sheetViews>
    <sheetView showGridLines="0" tabSelected="1" zoomScale="85" zoomScaleNormal="85" workbookViewId="0">
      <selection activeCell="M29" sqref="M29"/>
    </sheetView>
  </sheetViews>
  <sheetFormatPr defaultRowHeight="15" x14ac:dyDescent="0.2"/>
  <cols>
    <col min="1" max="1" width="9.140625" style="145"/>
    <col min="2" max="2" width="50.7109375" style="145" customWidth="1"/>
    <col min="3" max="3" width="8.28515625" style="145" customWidth="1"/>
    <col min="4" max="6" width="16.7109375" style="145" bestFit="1" customWidth="1"/>
    <col min="7" max="7" width="4" style="149" customWidth="1"/>
    <col min="8" max="11" width="14.42578125" style="145" customWidth="1"/>
    <col min="12" max="16" width="16.140625" style="145" bestFit="1" customWidth="1"/>
    <col min="17" max="17" width="9.140625" style="145"/>
    <col min="18" max="18" width="16.140625" style="145" bestFit="1" customWidth="1"/>
    <col min="19" max="16384" width="9.140625" style="145"/>
  </cols>
  <sheetData>
    <row r="2" spans="2:12" ht="21.75" customHeight="1" x14ac:dyDescent="0.2">
      <c r="D2" s="160" t="s">
        <v>136</v>
      </c>
      <c r="E2" s="160"/>
      <c r="F2" s="160"/>
      <c r="G2" s="161"/>
      <c r="H2" s="160" t="s">
        <v>137</v>
      </c>
      <c r="I2" s="160"/>
      <c r="J2" s="160"/>
      <c r="K2" s="160"/>
      <c r="L2" s="160"/>
    </row>
    <row r="3" spans="2:12" ht="15" customHeight="1" x14ac:dyDescent="0.2">
      <c r="D3" s="160"/>
      <c r="E3" s="160"/>
      <c r="F3" s="160"/>
      <c r="H3" s="160"/>
      <c r="I3" s="160"/>
      <c r="J3" s="160"/>
      <c r="K3" s="160"/>
      <c r="L3" s="160"/>
    </row>
    <row r="4" spans="2:12" x14ac:dyDescent="0.2">
      <c r="B4" s="145" t="s">
        <v>143</v>
      </c>
    </row>
    <row r="5" spans="2:12" s="147" customFormat="1" ht="15.75" x14ac:dyDescent="0.25">
      <c r="B5" s="163" t="s">
        <v>103</v>
      </c>
      <c r="C5" s="164" t="s">
        <v>108</v>
      </c>
      <c r="D5" s="165">
        <v>2022</v>
      </c>
      <c r="E5" s="165">
        <v>2023</v>
      </c>
      <c r="F5" s="165">
        <v>2024</v>
      </c>
      <c r="G5" s="166"/>
      <c r="H5" s="175">
        <v>2025</v>
      </c>
      <c r="I5" s="176"/>
      <c r="J5" s="175">
        <v>2026</v>
      </c>
      <c r="K5" s="177"/>
      <c r="L5" s="177"/>
    </row>
    <row r="6" spans="2:12" s="147" customFormat="1" ht="15.75" x14ac:dyDescent="0.25">
      <c r="B6" s="167"/>
      <c r="C6" s="168"/>
      <c r="D6" s="169"/>
      <c r="E6" s="169"/>
      <c r="F6" s="169"/>
      <c r="G6" s="170"/>
      <c r="H6" s="171" t="s">
        <v>25</v>
      </c>
      <c r="I6" s="171" t="s">
        <v>26</v>
      </c>
      <c r="J6" s="171" t="s">
        <v>29</v>
      </c>
      <c r="K6" s="171" t="s">
        <v>132</v>
      </c>
      <c r="L6" s="172" t="s">
        <v>31</v>
      </c>
    </row>
    <row r="7" spans="2:12" ht="15.75" x14ac:dyDescent="0.2">
      <c r="B7" s="173" t="s">
        <v>126</v>
      </c>
      <c r="C7" s="155" t="s">
        <v>127</v>
      </c>
      <c r="D7" s="156">
        <v>1000270.126</v>
      </c>
      <c r="E7" s="156">
        <v>793503.08</v>
      </c>
      <c r="F7" s="156">
        <v>508293.89199999999</v>
      </c>
      <c r="G7" s="152"/>
      <c r="H7" s="157">
        <v>0</v>
      </c>
      <c r="I7" s="157">
        <v>0</v>
      </c>
      <c r="J7" s="157">
        <v>0</v>
      </c>
      <c r="K7" s="157">
        <v>0</v>
      </c>
      <c r="L7" s="157">
        <v>0</v>
      </c>
    </row>
    <row r="8" spans="2:12" ht="15.75" x14ac:dyDescent="0.2">
      <c r="B8" s="173" t="s">
        <v>128</v>
      </c>
      <c r="C8" s="155" t="s">
        <v>127</v>
      </c>
      <c r="D8" s="156">
        <v>735331.02</v>
      </c>
      <c r="E8" s="156">
        <v>554573.37499999988</v>
      </c>
      <c r="F8" s="156">
        <v>709288.63</v>
      </c>
      <c r="G8" s="152"/>
      <c r="H8" s="157">
        <v>118417.397</v>
      </c>
      <c r="I8" s="157">
        <v>117859.04300000001</v>
      </c>
      <c r="J8" s="157">
        <v>129933.84699999999</v>
      </c>
      <c r="K8" s="156">
        <v>130643.88099999999</v>
      </c>
      <c r="L8" s="156">
        <v>45480.892999999996</v>
      </c>
    </row>
    <row r="9" spans="2:12" ht="15.75" x14ac:dyDescent="0.2">
      <c r="B9" s="173" t="s">
        <v>129</v>
      </c>
      <c r="C9" s="155" t="s">
        <v>127</v>
      </c>
      <c r="D9" s="156">
        <v>57928.467999999993</v>
      </c>
      <c r="E9" s="156">
        <v>118452.81599999999</v>
      </c>
      <c r="F9" s="156">
        <v>97147.687000000005</v>
      </c>
      <c r="G9" s="152"/>
      <c r="H9" s="157">
        <v>14286.975</v>
      </c>
      <c r="I9" s="157">
        <v>16297.137000000001</v>
      </c>
      <c r="J9" s="157">
        <v>15147.377</v>
      </c>
      <c r="K9" s="156">
        <v>809.73</v>
      </c>
      <c r="L9" s="157">
        <v>0</v>
      </c>
    </row>
    <row r="10" spans="2:12" ht="15.75" x14ac:dyDescent="0.2">
      <c r="B10" s="173" t="s">
        <v>130</v>
      </c>
      <c r="C10" s="155" t="s">
        <v>127</v>
      </c>
      <c r="D10" s="156">
        <v>70877.990000000005</v>
      </c>
      <c r="E10" s="156">
        <v>57037.466999999997</v>
      </c>
      <c r="F10" s="156">
        <v>48788.703999999998</v>
      </c>
      <c r="G10" s="152"/>
      <c r="H10" s="157">
        <v>4547.2719999999999</v>
      </c>
      <c r="I10" s="157">
        <v>4362.433</v>
      </c>
      <c r="J10" s="157">
        <v>5402.1880000000001</v>
      </c>
      <c r="K10" s="156">
        <v>5063.7030000000004</v>
      </c>
      <c r="L10" s="156">
        <v>2118.33</v>
      </c>
    </row>
    <row r="11" spans="2:12" ht="15.75" x14ac:dyDescent="0.2">
      <c r="B11" s="173" t="s">
        <v>131</v>
      </c>
      <c r="C11" s="155" t="s">
        <v>127</v>
      </c>
      <c r="D11" s="156">
        <v>14080.506000000001</v>
      </c>
      <c r="E11" s="156">
        <v>14154.944</v>
      </c>
      <c r="F11" s="156">
        <v>8588.482</v>
      </c>
      <c r="G11" s="152"/>
      <c r="H11" s="157">
        <v>0</v>
      </c>
      <c r="I11" s="157">
        <v>0</v>
      </c>
      <c r="J11" s="157">
        <v>0</v>
      </c>
      <c r="K11" s="156">
        <v>0</v>
      </c>
      <c r="L11" s="157">
        <v>0</v>
      </c>
    </row>
    <row r="12" spans="2:12" ht="15.75" x14ac:dyDescent="0.2">
      <c r="B12" s="158" t="s">
        <v>135</v>
      </c>
      <c r="C12" s="158"/>
      <c r="D12" s="157">
        <f t="shared" ref="D12:E12" si="0">SUM(D7:D11)</f>
        <v>1878488.11</v>
      </c>
      <c r="E12" s="157">
        <f t="shared" si="0"/>
        <v>1537721.6819999996</v>
      </c>
      <c r="F12" s="157">
        <f>SUM(F7:F11)</f>
        <v>1372107.3949999998</v>
      </c>
      <c r="G12" s="154"/>
      <c r="H12" s="157">
        <f>SUM(H7:H11)</f>
        <v>137251.644</v>
      </c>
      <c r="I12" s="157">
        <f t="shared" ref="I12:L12" si="1">SUM(I7:I11)</f>
        <v>138518.61299999998</v>
      </c>
      <c r="J12" s="157">
        <f t="shared" si="1"/>
        <v>150483.41199999998</v>
      </c>
      <c r="K12" s="157">
        <f t="shared" si="1"/>
        <v>136517.31400000001</v>
      </c>
      <c r="L12" s="157">
        <f t="shared" si="1"/>
        <v>47599.222999999998</v>
      </c>
    </row>
    <row r="13" spans="2:12" ht="15.75" x14ac:dyDescent="0.2">
      <c r="B13" s="178"/>
      <c r="C13" s="178"/>
      <c r="D13" s="153"/>
      <c r="E13" s="153"/>
      <c r="F13" s="153"/>
      <c r="G13" s="154"/>
      <c r="H13" s="153"/>
      <c r="I13" s="153"/>
      <c r="J13" s="153"/>
      <c r="K13" s="153"/>
      <c r="L13" s="153"/>
    </row>
    <row r="14" spans="2:12" x14ac:dyDescent="0.2">
      <c r="B14" s="145" t="s">
        <v>144</v>
      </c>
    </row>
    <row r="15" spans="2:12" s="147" customFormat="1" ht="15.75" x14ac:dyDescent="0.25">
      <c r="B15" s="163" t="s">
        <v>103</v>
      </c>
      <c r="C15" s="164" t="s">
        <v>108</v>
      </c>
      <c r="D15" s="165">
        <v>2022</v>
      </c>
      <c r="E15" s="165">
        <v>2023</v>
      </c>
      <c r="F15" s="165">
        <v>2024</v>
      </c>
      <c r="G15" s="166"/>
      <c r="H15" s="175">
        <v>2025</v>
      </c>
      <c r="I15" s="176"/>
      <c r="J15" s="175">
        <v>2026</v>
      </c>
      <c r="K15" s="177"/>
      <c r="L15" s="177"/>
    </row>
    <row r="16" spans="2:12" s="147" customFormat="1" ht="15.75" x14ac:dyDescent="0.25">
      <c r="B16" s="167"/>
      <c r="C16" s="168"/>
      <c r="D16" s="169"/>
      <c r="E16" s="169"/>
      <c r="F16" s="169"/>
      <c r="G16" s="170"/>
      <c r="H16" s="171" t="s">
        <v>25</v>
      </c>
      <c r="I16" s="171" t="s">
        <v>26</v>
      </c>
      <c r="J16" s="171" t="s">
        <v>29</v>
      </c>
      <c r="K16" s="171" t="s">
        <v>132</v>
      </c>
      <c r="L16" s="172" t="s">
        <v>31</v>
      </c>
    </row>
    <row r="17" spans="2:12" ht="31.5" x14ac:dyDescent="0.2">
      <c r="B17" s="173" t="s">
        <v>138</v>
      </c>
      <c r="C17" s="155" t="s">
        <v>20</v>
      </c>
      <c r="D17" s="157">
        <v>2129.0467838171517</v>
      </c>
      <c r="E17" s="157">
        <v>1809.24119118062</v>
      </c>
      <c r="F17" s="157">
        <v>1806.4382554155054</v>
      </c>
      <c r="G17" s="154"/>
      <c r="H17" s="157">
        <f>('Количество сжигаемого газа'!Q32+'Количество сжигаемого газа'!Q34)*'Природный газ'!$P$65</f>
        <v>132.61900148881836</v>
      </c>
      <c r="I17" s="157">
        <f>('Количество сжигаемого газа'!R32+'Количество сжигаемого газа'!R34)*'Природный газ'!$P$65</f>
        <v>134.87412683502075</v>
      </c>
      <c r="J17" s="157">
        <f>('Количество сжигаемого газа'!G41+'Количество сжигаемого газа'!G43)*'Природный газ'!$P$84</f>
        <v>128.82823827470799</v>
      </c>
      <c r="K17" s="157">
        <f>('Количество сжигаемого газа'!H41+'Количество сжигаемого газа'!H43)*'Природный газ'!$P$84</f>
        <v>115.15238888997155</v>
      </c>
      <c r="L17" s="157">
        <f>('Количество сжигаемого газа'!I41+'Количество сжигаемого газа'!I43)*'Природный газ'!$P$84</f>
        <v>47.145201688852325</v>
      </c>
    </row>
    <row r="18" spans="2:12" ht="31.5" x14ac:dyDescent="0.2">
      <c r="B18" s="173" t="s">
        <v>139</v>
      </c>
      <c r="C18" s="155" t="s">
        <v>20</v>
      </c>
      <c r="D18" s="157">
        <v>0</v>
      </c>
      <c r="E18" s="157">
        <v>0</v>
      </c>
      <c r="F18" s="157">
        <v>0</v>
      </c>
      <c r="G18" s="154"/>
      <c r="H18" s="157">
        <f>'Исходные данные'!D15</f>
        <v>19.525107483149878</v>
      </c>
      <c r="I18" s="157">
        <f>'Исходные данные'!E15</f>
        <v>16.436498395824103</v>
      </c>
      <c r="J18" s="157">
        <f>'Исходные данные'!F15</f>
        <v>33.228526309729574</v>
      </c>
      <c r="K18" s="157">
        <f>'Исходные данные'!G15</f>
        <v>27.645826672550463</v>
      </c>
      <c r="L18" s="157">
        <f>'Исходные данные'!H15</f>
        <v>10.526451458460309</v>
      </c>
    </row>
    <row r="19" spans="2:12" ht="15.75" x14ac:dyDescent="0.2">
      <c r="B19" s="158" t="s">
        <v>135</v>
      </c>
      <c r="C19" s="158"/>
      <c r="D19" s="157">
        <f>SUM(D17:D18)</f>
        <v>2129.0467838171517</v>
      </c>
      <c r="E19" s="157">
        <f t="shared" ref="E19:H19" si="2">SUM(E17:E18)</f>
        <v>1809.24119118062</v>
      </c>
      <c r="F19" s="157">
        <f t="shared" si="2"/>
        <v>1806.4382554155054</v>
      </c>
      <c r="G19" s="154"/>
      <c r="H19" s="157">
        <f t="shared" si="2"/>
        <v>152.14410897196822</v>
      </c>
      <c r="I19" s="157">
        <f t="shared" ref="I19" si="3">SUM(I17:I18)</f>
        <v>151.31062523084483</v>
      </c>
      <c r="J19" s="157">
        <f t="shared" ref="J19" si="4">SUM(J17:J18)</f>
        <v>162.05676458443756</v>
      </c>
      <c r="K19" s="157">
        <f t="shared" ref="K19" si="5">SUM(K17:K18)</f>
        <v>142.79821556252202</v>
      </c>
      <c r="L19" s="157">
        <f t="shared" ref="L19" si="6">SUM(L17:L18)</f>
        <v>57.671653147312632</v>
      </c>
    </row>
    <row r="20" spans="2:12" x14ac:dyDescent="0.2">
      <c r="B20" s="148"/>
      <c r="C20" s="148"/>
      <c r="D20" s="153"/>
      <c r="E20" s="153"/>
      <c r="F20" s="153"/>
      <c r="G20" s="154"/>
      <c r="H20" s="153"/>
      <c r="I20" s="153"/>
      <c r="J20" s="153"/>
      <c r="K20" s="153"/>
      <c r="L20" s="153"/>
    </row>
    <row r="21" spans="2:12" x14ac:dyDescent="0.2">
      <c r="B21" s="148"/>
      <c r="C21" s="148"/>
      <c r="D21" s="153"/>
      <c r="E21" s="153"/>
      <c r="F21" s="153"/>
      <c r="G21" s="154"/>
      <c r="H21" s="153"/>
      <c r="I21" s="153"/>
      <c r="J21" s="153"/>
      <c r="K21" s="153"/>
      <c r="L21" s="153"/>
    </row>
    <row r="22" spans="2:12" x14ac:dyDescent="0.2">
      <c r="B22" s="145" t="s">
        <v>145</v>
      </c>
    </row>
    <row r="23" spans="2:12" s="147" customFormat="1" ht="15.75" x14ac:dyDescent="0.25">
      <c r="B23" s="163" t="s">
        <v>103</v>
      </c>
      <c r="C23" s="164" t="s">
        <v>108</v>
      </c>
      <c r="D23" s="165">
        <v>2022</v>
      </c>
      <c r="E23" s="165">
        <v>2023</v>
      </c>
      <c r="F23" s="165">
        <v>2024</v>
      </c>
      <c r="G23" s="166"/>
      <c r="H23" s="175">
        <v>2025</v>
      </c>
      <c r="I23" s="176"/>
      <c r="J23" s="175">
        <v>2026</v>
      </c>
      <c r="K23" s="177"/>
      <c r="L23" s="177"/>
    </row>
    <row r="24" spans="2:12" s="147" customFormat="1" ht="15.75" x14ac:dyDescent="0.25">
      <c r="B24" s="167"/>
      <c r="C24" s="168"/>
      <c r="D24" s="169"/>
      <c r="E24" s="169"/>
      <c r="F24" s="169"/>
      <c r="G24" s="170"/>
      <c r="H24" s="171" t="s">
        <v>25</v>
      </c>
      <c r="I24" s="171" t="s">
        <v>26</v>
      </c>
      <c r="J24" s="171" t="s">
        <v>29</v>
      </c>
      <c r="K24" s="171" t="s">
        <v>132</v>
      </c>
      <c r="L24" s="172" t="s">
        <v>31</v>
      </c>
    </row>
    <row r="25" spans="2:12" ht="15.75" x14ac:dyDescent="0.2">
      <c r="B25" s="174" t="s">
        <v>134</v>
      </c>
      <c r="C25" s="162" t="s">
        <v>141</v>
      </c>
      <c r="D25" s="157">
        <f>D12/D19</f>
        <v>882.31415311225487</v>
      </c>
      <c r="E25" s="157">
        <f>E12/E19</f>
        <v>849.92630584347876</v>
      </c>
      <c r="F25" s="157">
        <f>F12/F19</f>
        <v>759.56506727344322</v>
      </c>
      <c r="G25" s="154"/>
      <c r="H25" s="157">
        <f>H12/H19</f>
        <v>902.11605909294792</v>
      </c>
      <c r="I25" s="157">
        <f>I12/I19</f>
        <v>915.4585990816646</v>
      </c>
      <c r="J25" s="157">
        <f>J12/J19</f>
        <v>928.58457581752202</v>
      </c>
      <c r="K25" s="157">
        <f>K12/K19</f>
        <v>956.01554586813438</v>
      </c>
      <c r="L25" s="157">
        <f>L12/L19</f>
        <v>825.34868349301018</v>
      </c>
    </row>
    <row r="26" spans="2:12" ht="15.75" x14ac:dyDescent="0.2">
      <c r="B26" s="158" t="s">
        <v>107</v>
      </c>
      <c r="C26" s="158"/>
      <c r="D26" s="179">
        <f>AVERAGE(D25:F25)</f>
        <v>830.60184207639224</v>
      </c>
      <c r="E26" s="179"/>
      <c r="F26" s="179"/>
      <c r="G26" s="150"/>
      <c r="H26" s="179">
        <f>AVERAGE(H25:L25)</f>
        <v>905.5046926706558</v>
      </c>
      <c r="I26" s="179"/>
      <c r="J26" s="179"/>
      <c r="K26" s="179"/>
      <c r="L26" s="179"/>
    </row>
    <row r="27" spans="2:12" ht="15.75" x14ac:dyDescent="0.2">
      <c r="B27" s="178"/>
      <c r="C27" s="178"/>
      <c r="D27" s="159"/>
      <c r="E27" s="159"/>
      <c r="F27" s="159"/>
      <c r="H27" s="159"/>
      <c r="I27" s="159"/>
      <c r="J27" s="159"/>
      <c r="K27" s="159"/>
      <c r="L27" s="159"/>
    </row>
    <row r="28" spans="2:12" ht="15.75" x14ac:dyDescent="0.2">
      <c r="B28" s="178"/>
      <c r="C28" s="178"/>
      <c r="D28" s="159"/>
      <c r="E28" s="159"/>
      <c r="F28" s="159"/>
      <c r="H28" s="159"/>
      <c r="I28" s="159"/>
      <c r="J28" s="159"/>
      <c r="K28" s="159"/>
      <c r="L28" s="159"/>
    </row>
    <row r="29" spans="2:12" ht="112.5" customHeight="1" x14ac:dyDescent="0.2">
      <c r="B29" s="105" t="s">
        <v>140</v>
      </c>
      <c r="C29" s="33" t="s">
        <v>142</v>
      </c>
      <c r="D29" s="180">
        <f>H26/D26</f>
        <v>1.0901790085211183</v>
      </c>
      <c r="E29" s="184" t="s">
        <v>146</v>
      </c>
      <c r="F29" s="184"/>
    </row>
    <row r="32" spans="2:12" x14ac:dyDescent="0.2">
      <c r="F32" s="146"/>
      <c r="G32" s="151"/>
    </row>
    <row r="33" spans="6:7" x14ac:dyDescent="0.2">
      <c r="F33" s="146"/>
      <c r="G33" s="151"/>
    </row>
  </sheetData>
  <mergeCells count="29">
    <mergeCell ref="D23:D24"/>
    <mergeCell ref="E23:E24"/>
    <mergeCell ref="F23:F24"/>
    <mergeCell ref="H23:I23"/>
    <mergeCell ref="J23:L23"/>
    <mergeCell ref="D2:F3"/>
    <mergeCell ref="H2:L3"/>
    <mergeCell ref="E29:F29"/>
    <mergeCell ref="B15:B16"/>
    <mergeCell ref="C15:C16"/>
    <mergeCell ref="D15:D16"/>
    <mergeCell ref="E15:E16"/>
    <mergeCell ref="F15:F16"/>
    <mergeCell ref="H15:I15"/>
    <mergeCell ref="J15:L15"/>
    <mergeCell ref="B19:C19"/>
    <mergeCell ref="B26:C26"/>
    <mergeCell ref="D26:F26"/>
    <mergeCell ref="H26:L26"/>
    <mergeCell ref="H5:I5"/>
    <mergeCell ref="J5:L5"/>
    <mergeCell ref="B23:B24"/>
    <mergeCell ref="C23:C24"/>
    <mergeCell ref="D5:D6"/>
    <mergeCell ref="E5:E6"/>
    <mergeCell ref="F5:F6"/>
    <mergeCell ref="C5:C6"/>
    <mergeCell ref="B5:B6"/>
    <mergeCell ref="B12:C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2614D-50AB-4EFB-B6AF-4C6D30650D23}">
  <sheetPr>
    <tabColor rgb="FFDDEBF7"/>
  </sheetPr>
  <dimension ref="A1"/>
  <sheetViews>
    <sheetView showGridLines="0" topLeftCell="A19" workbookViewId="0">
      <selection activeCell="J54" sqref="J54"/>
    </sheetView>
  </sheetViews>
  <sheetFormatPr defaultColWidth="8.85546875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BB44C-91F3-419A-8F5D-333683611D59}">
  <sheetPr>
    <tabColor rgb="FFDDEBF7"/>
  </sheetPr>
  <dimension ref="B2:S101"/>
  <sheetViews>
    <sheetView showGridLines="0" topLeftCell="A37" zoomScale="55" zoomScaleNormal="55" workbookViewId="0">
      <pane xSplit="2" topLeftCell="C1" activePane="topRight" state="frozen"/>
      <selection pane="topRight" activeCell="P84" sqref="P84"/>
    </sheetView>
  </sheetViews>
  <sheetFormatPr defaultColWidth="12.42578125" defaultRowHeight="15" x14ac:dyDescent="0.2"/>
  <cols>
    <col min="1" max="1" width="2.7109375" style="25" customWidth="1"/>
    <col min="2" max="2" width="37.140625" style="25" customWidth="1"/>
    <col min="3" max="15" width="12.42578125" style="25"/>
    <col min="16" max="16" width="12.42578125" style="25" customWidth="1"/>
    <col min="17" max="17" width="12.42578125" style="25"/>
    <col min="18" max="18" width="31.28515625" style="25" customWidth="1"/>
    <col min="19" max="19" width="27.5703125" style="25" customWidth="1"/>
    <col min="20" max="20" width="13" style="25" customWidth="1"/>
    <col min="21" max="16384" width="12.42578125" style="25"/>
  </cols>
  <sheetData>
    <row r="2" spans="2:19" ht="15.75" thickBot="1" x14ac:dyDescent="0.25">
      <c r="B2" s="25" t="s">
        <v>98</v>
      </c>
      <c r="M2" s="15" t="s">
        <v>50</v>
      </c>
      <c r="N2" s="15"/>
      <c r="O2" s="15"/>
      <c r="P2" s="15"/>
      <c r="R2" s="15" t="s">
        <v>51</v>
      </c>
      <c r="S2" s="15"/>
    </row>
    <row r="3" spans="2:19" ht="16.5" thickBot="1" x14ac:dyDescent="0.3">
      <c r="C3" s="123">
        <v>2022</v>
      </c>
      <c r="D3" s="124"/>
      <c r="E3" s="124"/>
      <c r="F3" s="124"/>
      <c r="G3" s="124"/>
      <c r="H3" s="124"/>
      <c r="I3" s="124"/>
      <c r="J3" s="124"/>
      <c r="K3" s="125"/>
      <c r="M3" s="120" t="s">
        <v>14</v>
      </c>
      <c r="N3" s="126"/>
      <c r="O3" s="126"/>
      <c r="P3" s="121"/>
      <c r="R3" s="40" t="s">
        <v>15</v>
      </c>
      <c r="S3" s="41" t="s">
        <v>7</v>
      </c>
    </row>
    <row r="4" spans="2:19" ht="19.5" x14ac:dyDescent="0.2">
      <c r="C4" s="26" t="s">
        <v>37</v>
      </c>
      <c r="D4" s="26" t="s">
        <v>38</v>
      </c>
      <c r="E4" s="26" t="s">
        <v>39</v>
      </c>
      <c r="F4" s="26" t="s">
        <v>40</v>
      </c>
      <c r="G4" s="26" t="s">
        <v>41</v>
      </c>
      <c r="H4" s="26" t="s">
        <v>42</v>
      </c>
      <c r="I4" s="26" t="s">
        <v>43</v>
      </c>
      <c r="J4" s="134" t="s">
        <v>16</v>
      </c>
      <c r="K4" s="135"/>
      <c r="M4" s="27">
        <v>1000000</v>
      </c>
      <c r="N4" s="28" t="s">
        <v>17</v>
      </c>
      <c r="O4" s="28" t="s">
        <v>18</v>
      </c>
      <c r="P4" s="28">
        <v>0.1429</v>
      </c>
      <c r="R4" s="29">
        <f>(SUM(C19:I19)*$B$91*0.01)</f>
        <v>1.9294345133124997</v>
      </c>
      <c r="S4" s="28" t="s">
        <v>44</v>
      </c>
    </row>
    <row r="5" spans="2:19" ht="19.5" x14ac:dyDescent="0.2">
      <c r="B5" s="30" t="s">
        <v>19</v>
      </c>
      <c r="C5" s="31">
        <v>1</v>
      </c>
      <c r="D5" s="31">
        <v>2</v>
      </c>
      <c r="E5" s="31">
        <v>3</v>
      </c>
      <c r="F5" s="31">
        <v>4</v>
      </c>
      <c r="G5" s="31">
        <v>5</v>
      </c>
      <c r="H5" s="31">
        <v>6</v>
      </c>
      <c r="I5" s="31">
        <v>1</v>
      </c>
      <c r="J5" s="31" t="s">
        <v>45</v>
      </c>
      <c r="K5" s="31" t="s">
        <v>46</v>
      </c>
      <c r="M5" s="32">
        <v>1</v>
      </c>
      <c r="N5" s="33" t="s">
        <v>18</v>
      </c>
      <c r="O5" s="33" t="s">
        <v>20</v>
      </c>
      <c r="P5" s="33">
        <v>2.9307600321999999E-2</v>
      </c>
      <c r="R5" s="34">
        <f>R4/P7</f>
        <v>1.6351184978369642</v>
      </c>
      <c r="S5" s="33" t="s">
        <v>47</v>
      </c>
    </row>
    <row r="6" spans="2:19" ht="19.5" x14ac:dyDescent="0.2">
      <c r="B6" s="30" t="s">
        <v>29</v>
      </c>
      <c r="C6" s="31">
        <v>96.13</v>
      </c>
      <c r="D6" s="31">
        <v>2.12</v>
      </c>
      <c r="E6" s="31">
        <v>0.67</v>
      </c>
      <c r="F6" s="31">
        <f>0.105+0.1</f>
        <v>0.20500000000000002</v>
      </c>
      <c r="G6" s="31">
        <f>0.0012+0.0208+0.0134</f>
        <v>3.5400000000000001E-2</v>
      </c>
      <c r="H6" s="31">
        <f>0.0136</f>
        <v>1.3599999999999999E-2</v>
      </c>
      <c r="I6" s="31">
        <v>0.15</v>
      </c>
      <c r="J6" s="31">
        <v>34.270000000000003</v>
      </c>
      <c r="K6" s="31">
        <v>8184</v>
      </c>
      <c r="M6" s="33">
        <v>1</v>
      </c>
      <c r="N6" s="33" t="s">
        <v>22</v>
      </c>
      <c r="O6" s="33" t="s">
        <v>17</v>
      </c>
      <c r="P6" s="32">
        <f>K18*1000</f>
        <v>8257500</v>
      </c>
      <c r="R6" s="34">
        <f>R4/P8</f>
        <v>55.791619916747287</v>
      </c>
      <c r="S6" s="33" t="s">
        <v>48</v>
      </c>
    </row>
    <row r="7" spans="2:19" ht="15.95" customHeight="1" x14ac:dyDescent="0.2">
      <c r="B7" s="30" t="s">
        <v>30</v>
      </c>
      <c r="C7" s="31">
        <v>95.93</v>
      </c>
      <c r="D7" s="31">
        <v>2.2599999999999998</v>
      </c>
      <c r="E7" s="31">
        <v>0.7</v>
      </c>
      <c r="F7" s="31">
        <f>0.109+0.103</f>
        <v>0.21199999999999999</v>
      </c>
      <c r="G7" s="31">
        <f>0.0012+0.0208+0.0137</f>
        <v>3.5699999999999996E-2</v>
      </c>
      <c r="H7" s="31">
        <v>9.7999999999999997E-3</v>
      </c>
      <c r="I7" s="31">
        <v>0.153</v>
      </c>
      <c r="J7" s="31">
        <v>34.31</v>
      </c>
      <c r="K7" s="31">
        <v>8195</v>
      </c>
      <c r="M7" s="33">
        <v>1</v>
      </c>
      <c r="N7" s="33" t="s">
        <v>22</v>
      </c>
      <c r="O7" s="33" t="s">
        <v>18</v>
      </c>
      <c r="P7" s="33">
        <f>P4*(P6/M4)</f>
        <v>1.1799967499999999</v>
      </c>
    </row>
    <row r="8" spans="2:19" x14ac:dyDescent="0.2">
      <c r="B8" s="30" t="s">
        <v>31</v>
      </c>
      <c r="C8" s="31">
        <v>95.52</v>
      </c>
      <c r="D8" s="31">
        <v>2.5499999999999998</v>
      </c>
      <c r="E8" s="31">
        <v>0.79</v>
      </c>
      <c r="F8" s="31">
        <f>0.123+0.116</f>
        <v>0.23899999999999999</v>
      </c>
      <c r="G8" s="31">
        <f>0.0011+0.0213+0.0144</f>
        <v>3.6799999999999999E-2</v>
      </c>
      <c r="H8" s="31">
        <v>3.0999999999999999E-3</v>
      </c>
      <c r="I8" s="31">
        <v>0.17799999999999999</v>
      </c>
      <c r="J8" s="31">
        <v>34.450000000000003</v>
      </c>
      <c r="K8" s="31">
        <v>8228</v>
      </c>
      <c r="M8" s="33">
        <v>1</v>
      </c>
      <c r="N8" s="33" t="s">
        <v>22</v>
      </c>
      <c r="O8" s="33" t="s">
        <v>20</v>
      </c>
      <c r="P8" s="33">
        <f>P5*(P7/M5)</f>
        <v>3.458287313025895E-2</v>
      </c>
    </row>
    <row r="9" spans="2:19" x14ac:dyDescent="0.2">
      <c r="B9" s="30" t="s">
        <v>32</v>
      </c>
      <c r="C9" s="31">
        <v>95.6</v>
      </c>
      <c r="D9" s="31">
        <v>2.46</v>
      </c>
      <c r="E9" s="31">
        <v>0.73</v>
      </c>
      <c r="F9" s="31">
        <f>0.112+0.103</f>
        <v>0.215</v>
      </c>
      <c r="G9" s="31">
        <f>0.0011+0.0209+0.0136</f>
        <v>3.56E-2</v>
      </c>
      <c r="H9" s="31">
        <v>1.34E-2</v>
      </c>
      <c r="I9" s="31">
        <v>0.21099999999999999</v>
      </c>
      <c r="J9" s="31">
        <v>34.36</v>
      </c>
      <c r="K9" s="31">
        <v>8206</v>
      </c>
    </row>
    <row r="10" spans="2:19" x14ac:dyDescent="0.2">
      <c r="B10" s="30" t="s">
        <v>33</v>
      </c>
      <c r="C10" s="31">
        <v>95.08</v>
      </c>
      <c r="D10" s="31">
        <v>2.81</v>
      </c>
      <c r="E10" s="31">
        <v>0.88</v>
      </c>
      <c r="F10" s="31">
        <f>0.135+0.129</f>
        <v>0.26400000000000001</v>
      </c>
      <c r="G10" s="31">
        <f>0.0012+0.0259+0.0176</f>
        <v>4.4700000000000004E-2</v>
      </c>
      <c r="H10" s="31">
        <v>1.61E-2</v>
      </c>
      <c r="I10" s="31">
        <v>0.23200000000000001</v>
      </c>
      <c r="J10" s="31">
        <v>34.590000000000003</v>
      </c>
      <c r="K10" s="31">
        <v>8262</v>
      </c>
    </row>
    <row r="11" spans="2:19" x14ac:dyDescent="0.2">
      <c r="B11" s="30" t="s">
        <v>34</v>
      </c>
      <c r="C11" s="31">
        <v>95.11</v>
      </c>
      <c r="D11" s="31">
        <v>2.79</v>
      </c>
      <c r="E11" s="31">
        <v>0.86</v>
      </c>
      <c r="F11" s="31">
        <f>0.134+0.128</f>
        <v>0.26200000000000001</v>
      </c>
      <c r="G11" s="31">
        <f>0.001+0.0246+0.0172</f>
        <v>4.2800000000000005E-2</v>
      </c>
      <c r="H11" s="31">
        <v>1.6400000000000001E-2</v>
      </c>
      <c r="I11" s="31">
        <v>0.224</v>
      </c>
      <c r="J11" s="31">
        <v>35.57</v>
      </c>
      <c r="K11" s="31">
        <v>8257</v>
      </c>
    </row>
    <row r="12" spans="2:19" x14ac:dyDescent="0.2">
      <c r="B12" s="30" t="s">
        <v>21</v>
      </c>
      <c r="C12" s="31">
        <v>94.62</v>
      </c>
      <c r="D12" s="31">
        <v>3.29</v>
      </c>
      <c r="E12" s="31">
        <v>1.04</v>
      </c>
      <c r="F12" s="31">
        <f>0.163+0.162</f>
        <v>0.32500000000000001</v>
      </c>
      <c r="G12" s="31">
        <f>0.00117+0.0318+0.0224</f>
        <v>5.5370000000000003E-2</v>
      </c>
      <c r="H12" s="31">
        <v>2.1499999999999998E-2</v>
      </c>
      <c r="I12" s="31">
        <v>0.26400000000000001</v>
      </c>
      <c r="J12" s="31">
        <v>34.840000000000003</v>
      </c>
      <c r="K12" s="31">
        <v>8321</v>
      </c>
    </row>
    <row r="13" spans="2:19" x14ac:dyDescent="0.2">
      <c r="B13" s="30" t="s">
        <v>35</v>
      </c>
      <c r="C13" s="31">
        <v>95.03</v>
      </c>
      <c r="D13" s="31">
        <v>2.79</v>
      </c>
      <c r="E13" s="31">
        <v>0.89</v>
      </c>
      <c r="F13" s="31">
        <f>0.142+0.142</f>
        <v>0.28399999999999997</v>
      </c>
      <c r="G13" s="31">
        <f>0.0011+0.0272+0.0195</f>
        <v>4.7799999999999995E-2</v>
      </c>
      <c r="H13" s="31">
        <v>1.9099999999999999E-2</v>
      </c>
      <c r="I13" s="31">
        <v>0.23200000000000001</v>
      </c>
      <c r="J13" s="31">
        <v>34.6</v>
      </c>
      <c r="K13" s="31">
        <v>8264</v>
      </c>
    </row>
    <row r="14" spans="2:19" x14ac:dyDescent="0.2">
      <c r="B14" s="30" t="s">
        <v>23</v>
      </c>
      <c r="C14" s="31">
        <v>94.33</v>
      </c>
      <c r="D14" s="31">
        <v>3.29</v>
      </c>
      <c r="E14" s="31">
        <v>1.03</v>
      </c>
      <c r="F14" s="31">
        <f>0.159+0.159</f>
        <v>0.318</v>
      </c>
      <c r="G14" s="31">
        <f>0.0015+0.0292+0.0208</f>
        <v>5.1500000000000004E-2</v>
      </c>
      <c r="H14" s="31">
        <v>1.9199999999999998E-2</v>
      </c>
      <c r="I14" s="31">
        <v>0.25700000000000001</v>
      </c>
      <c r="J14" s="31">
        <v>34.83</v>
      </c>
      <c r="K14" s="31">
        <v>8319</v>
      </c>
    </row>
    <row r="15" spans="2:19" x14ac:dyDescent="0.2">
      <c r="B15" s="30" t="s">
        <v>24</v>
      </c>
      <c r="C15" s="31">
        <v>94.71</v>
      </c>
      <c r="D15" s="31">
        <v>3.03</v>
      </c>
      <c r="E15" s="31">
        <v>0.93</v>
      </c>
      <c r="F15" s="31">
        <f>0.145+0.143</f>
        <v>0.28799999999999998</v>
      </c>
      <c r="G15" s="31">
        <f>0.0012+0.0276+0.0188</f>
        <v>4.7600000000000003E-2</v>
      </c>
      <c r="H15" s="31">
        <v>1.9300000000000001E-2</v>
      </c>
      <c r="I15" s="31">
        <v>0.255</v>
      </c>
      <c r="J15" s="31">
        <v>34.68</v>
      </c>
      <c r="K15" s="31">
        <v>8283</v>
      </c>
    </row>
    <row r="16" spans="2:19" x14ac:dyDescent="0.2">
      <c r="B16" s="30" t="s">
        <v>25</v>
      </c>
      <c r="C16" s="31">
        <v>94.74</v>
      </c>
      <c r="D16" s="31">
        <v>3.02</v>
      </c>
      <c r="E16" s="31">
        <v>0.96</v>
      </c>
      <c r="F16" s="31">
        <f>0.143+0.136</f>
        <v>0.27900000000000003</v>
      </c>
      <c r="G16" s="31">
        <f>0.0012+0.024+0.0177</f>
        <v>4.2900000000000001E-2</v>
      </c>
      <c r="H16" s="31">
        <v>1.7999999999999999E-2</v>
      </c>
      <c r="I16" s="31">
        <v>0.249</v>
      </c>
      <c r="J16" s="31">
        <v>34.68</v>
      </c>
      <c r="K16" s="31">
        <v>8284</v>
      </c>
    </row>
    <row r="17" spans="2:19" x14ac:dyDescent="0.2">
      <c r="B17" s="30" t="s">
        <v>26</v>
      </c>
      <c r="C17" s="31">
        <v>94.76</v>
      </c>
      <c r="D17" s="31">
        <v>3.02</v>
      </c>
      <c r="E17" s="31">
        <v>0.96</v>
      </c>
      <c r="F17" s="31">
        <f>0.145+0.136</f>
        <v>0.28100000000000003</v>
      </c>
      <c r="G17" s="31">
        <f>0.0014+0.024+0.0171</f>
        <v>4.2499999999999996E-2</v>
      </c>
      <c r="H17" s="31">
        <v>1.89E-2</v>
      </c>
      <c r="I17" s="31">
        <v>0.249</v>
      </c>
      <c r="J17" s="31">
        <v>34.700000000000003</v>
      </c>
      <c r="K17" s="31">
        <v>8287</v>
      </c>
    </row>
    <row r="18" spans="2:19" x14ac:dyDescent="0.2">
      <c r="B18" s="36" t="s">
        <v>27</v>
      </c>
      <c r="C18" s="37">
        <f t="shared" ref="C18:I18" si="0">AVERAGE(C6:C17)</f>
        <v>95.13</v>
      </c>
      <c r="D18" s="37">
        <f t="shared" si="0"/>
        <v>2.7858333333333332</v>
      </c>
      <c r="E18" s="37">
        <f t="shared" si="0"/>
        <v>0.87000000000000011</v>
      </c>
      <c r="F18" s="37">
        <f t="shared" si="0"/>
        <v>0.26433333333333331</v>
      </c>
      <c r="G18" s="37">
        <f t="shared" si="0"/>
        <v>4.3222500000000004E-2</v>
      </c>
      <c r="H18" s="37">
        <f t="shared" si="0"/>
        <v>1.5699999999999999E-2</v>
      </c>
      <c r="I18" s="37">
        <f t="shared" si="0"/>
        <v>0.22116666666666665</v>
      </c>
      <c r="J18" s="37">
        <f>AVERAGE(J6:J17)</f>
        <v>34.656666666666666</v>
      </c>
      <c r="K18" s="37">
        <f>AVERAGE(K6:K17)</f>
        <v>8257.5</v>
      </c>
    </row>
    <row r="19" spans="2:19" x14ac:dyDescent="0.2">
      <c r="B19" s="36" t="s">
        <v>28</v>
      </c>
      <c r="C19" s="37">
        <f t="shared" ref="C19:I19" si="1">C18*C5</f>
        <v>95.13</v>
      </c>
      <c r="D19" s="37">
        <f t="shared" si="1"/>
        <v>5.5716666666666663</v>
      </c>
      <c r="E19" s="37">
        <f t="shared" si="1"/>
        <v>2.6100000000000003</v>
      </c>
      <c r="F19" s="37">
        <f t="shared" si="1"/>
        <v>1.0573333333333332</v>
      </c>
      <c r="G19" s="37">
        <f t="shared" si="1"/>
        <v>0.21611250000000001</v>
      </c>
      <c r="H19" s="37">
        <f t="shared" si="1"/>
        <v>9.4199999999999992E-2</v>
      </c>
      <c r="I19" s="37">
        <f t="shared" si="1"/>
        <v>0.22116666666666665</v>
      </c>
      <c r="J19" s="42"/>
      <c r="K19" s="38"/>
    </row>
    <row r="20" spans="2:19" x14ac:dyDescent="0.2">
      <c r="B20" s="55"/>
      <c r="C20" s="56"/>
      <c r="D20" s="56"/>
      <c r="E20" s="56"/>
      <c r="F20" s="56"/>
      <c r="G20" s="56"/>
      <c r="H20" s="56"/>
      <c r="I20" s="56"/>
      <c r="J20" s="45"/>
      <c r="K20" s="38"/>
    </row>
    <row r="21" spans="2:19" ht="15.75" thickBot="1" x14ac:dyDescent="0.25">
      <c r="B21" s="25" t="s">
        <v>97</v>
      </c>
      <c r="M21" s="15" t="s">
        <v>52</v>
      </c>
      <c r="N21" s="15"/>
      <c r="O21" s="15"/>
      <c r="P21" s="15"/>
      <c r="R21" s="15" t="s">
        <v>53</v>
      </c>
      <c r="S21" s="15"/>
    </row>
    <row r="22" spans="2:19" ht="16.5" thickBot="1" x14ac:dyDescent="0.3">
      <c r="B22" s="43"/>
      <c r="C22" s="123">
        <v>2023</v>
      </c>
      <c r="D22" s="124"/>
      <c r="E22" s="124"/>
      <c r="F22" s="124"/>
      <c r="G22" s="124"/>
      <c r="H22" s="124"/>
      <c r="I22" s="124"/>
      <c r="J22" s="124"/>
      <c r="K22" s="125"/>
      <c r="M22" s="120" t="s">
        <v>14</v>
      </c>
      <c r="N22" s="126"/>
      <c r="O22" s="126"/>
      <c r="P22" s="121"/>
      <c r="R22" s="40" t="s">
        <v>15</v>
      </c>
      <c r="S22" s="41" t="s">
        <v>7</v>
      </c>
    </row>
    <row r="23" spans="2:19" ht="19.5" x14ac:dyDescent="0.2">
      <c r="C23" s="26" t="s">
        <v>37</v>
      </c>
      <c r="D23" s="26" t="s">
        <v>38</v>
      </c>
      <c r="E23" s="26" t="s">
        <v>39</v>
      </c>
      <c r="F23" s="26" t="s">
        <v>40</v>
      </c>
      <c r="G23" s="26" t="s">
        <v>41</v>
      </c>
      <c r="H23" s="26" t="s">
        <v>42</v>
      </c>
      <c r="I23" s="26" t="s">
        <v>43</v>
      </c>
      <c r="J23" s="134" t="s">
        <v>16</v>
      </c>
      <c r="K23" s="135"/>
      <c r="M23" s="27">
        <v>1000000</v>
      </c>
      <c r="N23" s="28" t="s">
        <v>17</v>
      </c>
      <c r="O23" s="28" t="s">
        <v>18</v>
      </c>
      <c r="P23" s="28">
        <v>0.1429</v>
      </c>
      <c r="R23" s="29">
        <f>SUM(C38:I38)*$B$91*0.01</f>
        <v>1.9463432748499996</v>
      </c>
      <c r="S23" s="28" t="s">
        <v>44</v>
      </c>
    </row>
    <row r="24" spans="2:19" ht="19.5" x14ac:dyDescent="0.2">
      <c r="B24" s="30" t="s">
        <v>19</v>
      </c>
      <c r="C24" s="31">
        <v>1</v>
      </c>
      <c r="D24" s="31">
        <v>2</v>
      </c>
      <c r="E24" s="31">
        <v>3</v>
      </c>
      <c r="F24" s="31">
        <v>4</v>
      </c>
      <c r="G24" s="31">
        <v>5</v>
      </c>
      <c r="H24" s="31">
        <v>6</v>
      </c>
      <c r="I24" s="31">
        <v>1</v>
      </c>
      <c r="J24" s="31" t="s">
        <v>45</v>
      </c>
      <c r="K24" s="31" t="s">
        <v>46</v>
      </c>
      <c r="M24" s="32">
        <v>1</v>
      </c>
      <c r="N24" s="33" t="s">
        <v>18</v>
      </c>
      <c r="O24" s="33" t="s">
        <v>20</v>
      </c>
      <c r="P24" s="33">
        <v>2.9307600321999999E-2</v>
      </c>
      <c r="R24" s="34">
        <f>R23/P26</f>
        <v>1.6397672630731468</v>
      </c>
      <c r="S24" s="33" t="s">
        <v>47</v>
      </c>
    </row>
    <row r="25" spans="2:19" ht="19.5" x14ac:dyDescent="0.2">
      <c r="B25" s="30" t="s">
        <v>29</v>
      </c>
      <c r="C25" s="31">
        <v>94.93</v>
      </c>
      <c r="D25" s="31">
        <v>2.98</v>
      </c>
      <c r="E25" s="31">
        <v>0.93</v>
      </c>
      <c r="F25" s="31">
        <f>0.142+0.0549</f>
        <v>0.19689999999999999</v>
      </c>
      <c r="G25" s="31">
        <f>0.0014+0.037+0.0163</f>
        <v>5.4699999999999999E-2</v>
      </c>
      <c r="H25" s="31">
        <v>2.64E-2</v>
      </c>
      <c r="I25" s="31">
        <v>0.248</v>
      </c>
      <c r="J25" s="31">
        <v>34.61</v>
      </c>
      <c r="K25" s="31">
        <v>8265</v>
      </c>
      <c r="M25" s="33">
        <v>1</v>
      </c>
      <c r="N25" s="33" t="s">
        <v>22</v>
      </c>
      <c r="O25" s="33" t="s">
        <v>17</v>
      </c>
      <c r="P25" s="32">
        <f>K37*1000</f>
        <v>8306250</v>
      </c>
      <c r="R25" s="34">
        <f>R23/P27</f>
        <v>55.950239700868366</v>
      </c>
      <c r="S25" s="33" t="s">
        <v>48</v>
      </c>
    </row>
    <row r="26" spans="2:19" x14ac:dyDescent="0.2">
      <c r="B26" s="30" t="s">
        <v>30</v>
      </c>
      <c r="C26" s="31">
        <v>94.8</v>
      </c>
      <c r="D26" s="31">
        <v>3</v>
      </c>
      <c r="E26" s="31">
        <v>0.94</v>
      </c>
      <c r="F26" s="31">
        <f>0.148+0.138</f>
        <v>0.28600000000000003</v>
      </c>
      <c r="G26" s="31">
        <f>0.0012+0.0247+0.0168</f>
        <v>4.2700000000000002E-2</v>
      </c>
      <c r="H26" s="31">
        <v>1.9599999999999999E-2</v>
      </c>
      <c r="I26" s="31">
        <v>0.24199999999999999</v>
      </c>
      <c r="J26" s="31">
        <v>34.68</v>
      </c>
      <c r="K26" s="31">
        <v>8284</v>
      </c>
      <c r="M26" s="33">
        <v>1</v>
      </c>
      <c r="N26" s="33" t="s">
        <v>22</v>
      </c>
      <c r="O26" s="33" t="s">
        <v>18</v>
      </c>
      <c r="P26" s="33">
        <f>P23*(P25/M23)</f>
        <v>1.1869631250000001</v>
      </c>
    </row>
    <row r="27" spans="2:19" x14ac:dyDescent="0.2">
      <c r="B27" s="30" t="s">
        <v>31</v>
      </c>
      <c r="C27" s="31">
        <v>95.13</v>
      </c>
      <c r="D27" s="31">
        <v>2.78</v>
      </c>
      <c r="E27" s="31">
        <v>0.85</v>
      </c>
      <c r="F27" s="31">
        <f>0.134+0.12</f>
        <v>0.254</v>
      </c>
      <c r="G27" s="31">
        <f>0.0011+0.0238+0.0158</f>
        <v>4.07E-2</v>
      </c>
      <c r="H27" s="31">
        <v>1.46E-2</v>
      </c>
      <c r="I27" s="31">
        <v>0.22700000000000001</v>
      </c>
      <c r="J27" s="31">
        <v>34.549999999999997</v>
      </c>
      <c r="K27" s="31">
        <v>8251</v>
      </c>
      <c r="M27" s="33">
        <v>1</v>
      </c>
      <c r="N27" s="33" t="s">
        <v>22</v>
      </c>
      <c r="O27" s="33" t="s">
        <v>20</v>
      </c>
      <c r="P27" s="33">
        <f>P24*(P26/M24)</f>
        <v>3.4787040864452126E-2</v>
      </c>
    </row>
    <row r="28" spans="2:19" x14ac:dyDescent="0.2">
      <c r="B28" s="30" t="s">
        <v>32</v>
      </c>
      <c r="C28" s="31">
        <v>94.49</v>
      </c>
      <c r="D28" s="31">
        <v>3.19</v>
      </c>
      <c r="E28" s="31">
        <v>1</v>
      </c>
      <c r="F28" s="31">
        <f>0.162+0.147</f>
        <v>0.309</v>
      </c>
      <c r="G28" s="31">
        <f>0.0013+0.0269+0.0181</f>
        <v>4.6300000000000001E-2</v>
      </c>
      <c r="H28" s="31">
        <v>1.6299999999999999E-2</v>
      </c>
      <c r="I28" s="31">
        <v>0.26500000000000001</v>
      </c>
      <c r="J28" s="31">
        <v>34.770000000000003</v>
      </c>
      <c r="K28" s="31">
        <v>8305</v>
      </c>
    </row>
    <row r="29" spans="2:19" x14ac:dyDescent="0.2">
      <c r="B29" s="30" t="s">
        <v>33</v>
      </c>
      <c r="C29" s="31">
        <v>93.66</v>
      </c>
      <c r="D29" s="31">
        <v>3.74</v>
      </c>
      <c r="E29" s="31">
        <v>1.1299999999999999</v>
      </c>
      <c r="F29" s="31">
        <f>0.17+0.158</f>
        <v>0.32800000000000001</v>
      </c>
      <c r="G29" s="31">
        <f>0.0012+0.0291+0.0196</f>
        <v>4.99E-2</v>
      </c>
      <c r="H29" s="31">
        <v>1.8599999999999998E-2</v>
      </c>
      <c r="I29" s="31">
        <v>0.29299999999999998</v>
      </c>
      <c r="J29" s="31">
        <v>34.97</v>
      </c>
      <c r="K29" s="31">
        <v>8352</v>
      </c>
    </row>
    <row r="30" spans="2:19" x14ac:dyDescent="0.2">
      <c r="B30" s="30" t="s">
        <v>34</v>
      </c>
      <c r="C30" s="31">
        <v>93.33</v>
      </c>
      <c r="D30" s="31">
        <v>3.94</v>
      </c>
      <c r="E30" s="31">
        <v>1.25</v>
      </c>
      <c r="F30" s="31">
        <f>0.187+0.183</f>
        <v>0.37</v>
      </c>
      <c r="G30" s="31">
        <f>0.0013+0.0319+0.222</f>
        <v>0.25519999999999998</v>
      </c>
      <c r="H30" s="31">
        <v>2.4199999999999999E-2</v>
      </c>
      <c r="I30" s="31">
        <v>0.313</v>
      </c>
      <c r="J30" s="31">
        <v>35.14</v>
      </c>
      <c r="K30" s="31">
        <v>8394</v>
      </c>
    </row>
    <row r="31" spans="2:19" x14ac:dyDescent="0.2">
      <c r="B31" s="30" t="s">
        <v>21</v>
      </c>
      <c r="C31" s="31">
        <v>93.16</v>
      </c>
      <c r="D31" s="31">
        <v>3.85</v>
      </c>
      <c r="E31" s="31">
        <v>1.1499999999999999</v>
      </c>
      <c r="F31" s="31">
        <f>0.161+0.163</f>
        <v>0.32400000000000001</v>
      </c>
      <c r="G31" s="31">
        <f>0.0011+0.037+0.0262</f>
        <v>6.4299999999999996E-2</v>
      </c>
      <c r="H31" s="31">
        <v>2.4400000000000002E-2</v>
      </c>
      <c r="I31" s="31">
        <v>0.218</v>
      </c>
      <c r="J31" s="31">
        <v>34.909999999999997</v>
      </c>
      <c r="K31" s="31">
        <v>8337</v>
      </c>
    </row>
    <row r="32" spans="2:19" x14ac:dyDescent="0.2">
      <c r="B32" s="30" t="s">
        <v>35</v>
      </c>
      <c r="C32" s="31">
        <v>94.25</v>
      </c>
      <c r="D32" s="31">
        <v>3.28</v>
      </c>
      <c r="E32" s="31">
        <v>1.04</v>
      </c>
      <c r="F32" s="31">
        <f>0.169+0.168</f>
        <v>0.33700000000000002</v>
      </c>
      <c r="G32" s="31">
        <f>0.0019+0.0327+0.0221</f>
        <v>5.67E-2</v>
      </c>
      <c r="H32" s="31">
        <v>2.3400000000000001E-2</v>
      </c>
      <c r="I32" s="31">
        <v>0.29799999999999999</v>
      </c>
      <c r="J32" s="31">
        <v>34.840000000000003</v>
      </c>
      <c r="K32" s="31">
        <v>8321</v>
      </c>
    </row>
    <row r="33" spans="2:19" x14ac:dyDescent="0.2">
      <c r="B33" s="30" t="s">
        <v>23</v>
      </c>
      <c r="C33" s="31">
        <v>94.3</v>
      </c>
      <c r="D33" s="31">
        <v>3.31</v>
      </c>
      <c r="E33" s="31">
        <v>1.04</v>
      </c>
      <c r="F33" s="31">
        <f>0.156+0.151</f>
        <v>0.307</v>
      </c>
      <c r="G33" s="31">
        <f>0.0011+0.0281+0.0193</f>
        <v>4.8500000000000001E-2</v>
      </c>
      <c r="H33" s="31">
        <v>2.0299999999999999E-2</v>
      </c>
      <c r="I33" s="31">
        <v>0.27400000000000002</v>
      </c>
      <c r="J33" s="31">
        <v>34.83</v>
      </c>
      <c r="K33" s="31">
        <v>8318</v>
      </c>
    </row>
    <row r="34" spans="2:19" x14ac:dyDescent="0.2">
      <c r="B34" s="30" t="s">
        <v>24</v>
      </c>
      <c r="C34" s="31">
        <v>94.25</v>
      </c>
      <c r="D34" s="31">
        <v>3.32</v>
      </c>
      <c r="E34" s="31">
        <v>0.98</v>
      </c>
      <c r="F34" s="31">
        <f>0.15+0.141</f>
        <v>0.29099999999999998</v>
      </c>
      <c r="G34" s="31">
        <f>0.0013+0.0266+0.0188</f>
        <v>4.6699999999999998E-2</v>
      </c>
      <c r="H34" s="31">
        <v>1.9099999999999999E-2</v>
      </c>
      <c r="I34" s="31">
        <v>0.25800000000000001</v>
      </c>
      <c r="J34" s="31">
        <v>34.74</v>
      </c>
      <c r="K34" s="31">
        <v>8297</v>
      </c>
    </row>
    <row r="35" spans="2:19" x14ac:dyDescent="0.2">
      <c r="B35" s="30" t="s">
        <v>25</v>
      </c>
      <c r="C35" s="31">
        <v>94.73</v>
      </c>
      <c r="D35" s="31">
        <v>3.05</v>
      </c>
      <c r="E35" s="31">
        <v>0.93</v>
      </c>
      <c r="F35" s="31">
        <f>0.144+0.138</f>
        <v>0.28200000000000003</v>
      </c>
      <c r="G35" s="31">
        <f>0.003+0.0233+0.0161</f>
        <v>4.24E-2</v>
      </c>
      <c r="H35" s="31">
        <v>1.89E-2</v>
      </c>
      <c r="I35" s="31">
        <v>0.25600000000000001</v>
      </c>
      <c r="J35" s="31">
        <v>34.68</v>
      </c>
      <c r="K35" s="31">
        <v>8283</v>
      </c>
    </row>
    <row r="36" spans="2:19" x14ac:dyDescent="0.2">
      <c r="B36" s="30" t="s">
        <v>26</v>
      </c>
      <c r="C36" s="31">
        <v>94.88</v>
      </c>
      <c r="D36" s="31">
        <v>2.94</v>
      </c>
      <c r="E36" s="31">
        <v>0.9</v>
      </c>
      <c r="F36" s="31">
        <f>0.138+0.125</f>
        <v>0.26300000000000001</v>
      </c>
      <c r="G36" s="31">
        <f>0.0015+0.026+0.0154</f>
        <v>4.2900000000000001E-2</v>
      </c>
      <c r="H36" s="31">
        <v>1.7999999999999999E-2</v>
      </c>
      <c r="I36" s="31">
        <v>0.246</v>
      </c>
      <c r="J36" s="31">
        <v>34.619999999999997</v>
      </c>
      <c r="K36" s="31">
        <v>8268</v>
      </c>
      <c r="M36" s="35"/>
    </row>
    <row r="37" spans="2:19" x14ac:dyDescent="0.2">
      <c r="B37" s="36" t="s">
        <v>27</v>
      </c>
      <c r="C37" s="44">
        <f>AVERAGE(C25:C36)</f>
        <v>94.325833333333321</v>
      </c>
      <c r="D37" s="44">
        <f t="shared" ref="D37:J37" si="2">AVERAGE(D25:D36)</f>
        <v>3.2816666666666663</v>
      </c>
      <c r="E37" s="44">
        <f t="shared" si="2"/>
        <v>1.0116666666666665</v>
      </c>
      <c r="F37" s="44">
        <f t="shared" si="2"/>
        <v>0.2956583333333333</v>
      </c>
      <c r="G37" s="44">
        <f t="shared" si="2"/>
        <v>6.5916666666666665E-2</v>
      </c>
      <c r="H37" s="44">
        <f t="shared" si="2"/>
        <v>2.0316666666666667E-2</v>
      </c>
      <c r="I37" s="44">
        <f t="shared" si="2"/>
        <v>0.26149999999999995</v>
      </c>
      <c r="J37" s="37">
        <f t="shared" si="2"/>
        <v>34.778333333333329</v>
      </c>
      <c r="K37" s="37">
        <f>AVERAGE(K25:K36)</f>
        <v>8306.25</v>
      </c>
      <c r="L37" s="35"/>
      <c r="M37" s="35"/>
    </row>
    <row r="38" spans="2:19" x14ac:dyDescent="0.2">
      <c r="B38" s="36" t="s">
        <v>28</v>
      </c>
      <c r="C38" s="37">
        <f>C37*C24</f>
        <v>94.325833333333321</v>
      </c>
      <c r="D38" s="37">
        <f t="shared" ref="D38:I38" si="3">D37*D24</f>
        <v>6.5633333333333326</v>
      </c>
      <c r="E38" s="37">
        <f t="shared" si="3"/>
        <v>3.0349999999999993</v>
      </c>
      <c r="F38" s="37">
        <f t="shared" si="3"/>
        <v>1.1826333333333332</v>
      </c>
      <c r="G38" s="37">
        <f t="shared" si="3"/>
        <v>0.32958333333333334</v>
      </c>
      <c r="H38" s="37">
        <f t="shared" si="3"/>
        <v>0.12190000000000001</v>
      </c>
      <c r="I38" s="37">
        <f t="shared" si="3"/>
        <v>0.26149999999999995</v>
      </c>
      <c r="J38" s="45"/>
      <c r="K38" s="38"/>
      <c r="L38" s="35"/>
      <c r="M38" s="35"/>
    </row>
    <row r="39" spans="2:19" x14ac:dyDescent="0.2">
      <c r="C39" s="39"/>
      <c r="D39" s="39"/>
      <c r="E39" s="39"/>
      <c r="F39" s="39"/>
      <c r="G39" s="39"/>
      <c r="H39" s="39"/>
      <c r="I39" s="39"/>
      <c r="J39" s="39"/>
      <c r="K39" s="35"/>
      <c r="L39" s="35"/>
    </row>
    <row r="40" spans="2:19" ht="15.75" thickBot="1" x14ac:dyDescent="0.25">
      <c r="B40" s="25" t="s">
        <v>96</v>
      </c>
      <c r="M40" s="15" t="s">
        <v>54</v>
      </c>
      <c r="N40" s="15"/>
      <c r="O40" s="15"/>
      <c r="P40" s="15"/>
      <c r="R40" s="15" t="s">
        <v>55</v>
      </c>
      <c r="S40" s="15"/>
    </row>
    <row r="41" spans="2:19" ht="16.5" thickBot="1" x14ac:dyDescent="0.3">
      <c r="B41" s="43"/>
      <c r="C41" s="123">
        <v>2024</v>
      </c>
      <c r="D41" s="124"/>
      <c r="E41" s="124"/>
      <c r="F41" s="124"/>
      <c r="G41" s="124"/>
      <c r="H41" s="124"/>
      <c r="I41" s="124"/>
      <c r="J41" s="124"/>
      <c r="K41" s="125"/>
      <c r="M41" s="120" t="s">
        <v>14</v>
      </c>
      <c r="N41" s="126"/>
      <c r="O41" s="126"/>
      <c r="P41" s="121"/>
      <c r="R41" s="40" t="s">
        <v>15</v>
      </c>
      <c r="S41" s="41" t="s">
        <v>7</v>
      </c>
    </row>
    <row r="42" spans="2:19" ht="19.5" x14ac:dyDescent="0.2">
      <c r="B42" s="46"/>
      <c r="C42" s="47" t="s">
        <v>56</v>
      </c>
      <c r="D42" s="47" t="s">
        <v>57</v>
      </c>
      <c r="E42" s="47" t="s">
        <v>58</v>
      </c>
      <c r="F42" s="47" t="s">
        <v>59</v>
      </c>
      <c r="G42" s="47" t="s">
        <v>60</v>
      </c>
      <c r="H42" s="47" t="s">
        <v>61</v>
      </c>
      <c r="I42" s="47" t="s">
        <v>62</v>
      </c>
      <c r="J42" s="127" t="s">
        <v>16</v>
      </c>
      <c r="K42" s="128"/>
      <c r="M42" s="27">
        <v>1000000</v>
      </c>
      <c r="N42" s="28" t="s">
        <v>17</v>
      </c>
      <c r="O42" s="28" t="s">
        <v>18</v>
      </c>
      <c r="P42" s="28">
        <v>0.1429</v>
      </c>
      <c r="R42" s="29">
        <f>SUM(C57:I57)*$B$91*0.01</f>
        <v>1.9484668024363634</v>
      </c>
      <c r="S42" s="28" t="s">
        <v>44</v>
      </c>
    </row>
    <row r="43" spans="2:19" ht="19.5" x14ac:dyDescent="0.2">
      <c r="B43" s="48" t="s">
        <v>19</v>
      </c>
      <c r="C43" s="49">
        <v>1</v>
      </c>
      <c r="D43" s="49">
        <v>2</v>
      </c>
      <c r="E43" s="49">
        <v>3</v>
      </c>
      <c r="F43" s="49">
        <v>4</v>
      </c>
      <c r="G43" s="49">
        <v>5</v>
      </c>
      <c r="H43" s="49">
        <v>6</v>
      </c>
      <c r="I43" s="49">
        <v>1</v>
      </c>
      <c r="J43" s="49" t="s">
        <v>63</v>
      </c>
      <c r="K43" s="49" t="s">
        <v>64</v>
      </c>
      <c r="M43" s="32">
        <v>1</v>
      </c>
      <c r="N43" s="33" t="s">
        <v>18</v>
      </c>
      <c r="O43" s="33" t="s">
        <v>20</v>
      </c>
      <c r="P43" s="33">
        <v>2.9307600321999999E-2</v>
      </c>
      <c r="R43" s="34">
        <f>R42/P45</f>
        <v>1.6388971196967665</v>
      </c>
      <c r="S43" s="33" t="s">
        <v>47</v>
      </c>
    </row>
    <row r="44" spans="2:19" ht="19.5" x14ac:dyDescent="0.2">
      <c r="B44" s="48" t="s">
        <v>29</v>
      </c>
      <c r="C44" s="49">
        <v>95.12</v>
      </c>
      <c r="D44" s="49">
        <v>2.78</v>
      </c>
      <c r="E44" s="49">
        <v>0.85</v>
      </c>
      <c r="F44" s="49">
        <f>0.131+0.122</f>
        <v>0.253</v>
      </c>
      <c r="G44" s="49">
        <f>0.0013+0.0225+0.0146</f>
        <v>3.8399999999999997E-2</v>
      </c>
      <c r="H44" s="49">
        <v>1.6799999999999999E-2</v>
      </c>
      <c r="I44" s="49">
        <v>0.23400000000000001</v>
      </c>
      <c r="J44" s="49">
        <v>34.54</v>
      </c>
      <c r="K44" s="49">
        <v>8251</v>
      </c>
      <c r="M44" s="33">
        <v>1</v>
      </c>
      <c r="N44" s="33" t="s">
        <v>22</v>
      </c>
      <c r="O44" s="33" t="s">
        <v>17</v>
      </c>
      <c r="P44" s="32">
        <f>K56*1000</f>
        <v>8319727.2727272725</v>
      </c>
      <c r="R44" s="34">
        <f>R42/P46</f>
        <v>55.920549676205134</v>
      </c>
      <c r="S44" s="33" t="s">
        <v>48</v>
      </c>
    </row>
    <row r="45" spans="2:19" x14ac:dyDescent="0.2">
      <c r="B45" s="48" t="s">
        <v>30</v>
      </c>
      <c r="C45" s="49">
        <v>95.23</v>
      </c>
      <c r="D45" s="49">
        <v>2.71</v>
      </c>
      <c r="E45" s="49">
        <v>0.83</v>
      </c>
      <c r="F45" s="49">
        <f>0.126+0.12</f>
        <v>0.246</v>
      </c>
      <c r="G45" s="49">
        <f>0.001+0.0204+0.0135</f>
        <v>3.49E-2</v>
      </c>
      <c r="H45" s="49">
        <v>1.54E-2</v>
      </c>
      <c r="I45" s="49">
        <v>0.222</v>
      </c>
      <c r="J45" s="49">
        <v>34.5</v>
      </c>
      <c r="K45" s="49">
        <v>8241</v>
      </c>
      <c r="M45" s="33">
        <v>1</v>
      </c>
      <c r="N45" s="33" t="s">
        <v>22</v>
      </c>
      <c r="O45" s="33" t="s">
        <v>18</v>
      </c>
      <c r="P45" s="33">
        <f>P42*(P44/M42)</f>
        <v>1.1888890272727273</v>
      </c>
    </row>
    <row r="46" spans="2:19" x14ac:dyDescent="0.2">
      <c r="B46" s="48" t="s">
        <v>31</v>
      </c>
      <c r="C46" s="49">
        <v>95.01</v>
      </c>
      <c r="D46" s="49">
        <v>2.89</v>
      </c>
      <c r="E46" s="49">
        <v>0.9</v>
      </c>
      <c r="F46" s="49">
        <f>0.133+0.129</f>
        <v>0.26200000000000001</v>
      </c>
      <c r="G46" s="49">
        <f>0.0012+0.0212+0.0143</f>
        <v>3.6699999999999997E-2</v>
      </c>
      <c r="H46" s="49">
        <v>1.24E-2</v>
      </c>
      <c r="I46" s="49">
        <v>0.23799999999999999</v>
      </c>
      <c r="J46" s="49">
        <v>34.61</v>
      </c>
      <c r="K46" s="49">
        <v>8266</v>
      </c>
      <c r="M46" s="33">
        <v>1</v>
      </c>
      <c r="N46" s="33" t="s">
        <v>22</v>
      </c>
      <c r="O46" s="33" t="s">
        <v>20</v>
      </c>
      <c r="P46" s="33">
        <f>P43*(P45/M43)</f>
        <v>3.484348443852045E-2</v>
      </c>
    </row>
    <row r="47" spans="2:19" x14ac:dyDescent="0.2">
      <c r="B47" s="48" t="s">
        <v>32</v>
      </c>
      <c r="C47" s="49">
        <v>94.28</v>
      </c>
      <c r="D47" s="49">
        <v>3.39</v>
      </c>
      <c r="E47" s="49">
        <v>1.05</v>
      </c>
      <c r="F47" s="49">
        <f>0.156+0.149</f>
        <v>0.30499999999999999</v>
      </c>
      <c r="G47" s="49">
        <f>0.0013+0.0237+0.0158</f>
        <v>4.0800000000000003E-2</v>
      </c>
      <c r="H47" s="49">
        <v>1.46E-2</v>
      </c>
      <c r="I47" s="49">
        <v>0.27500000000000002</v>
      </c>
      <c r="J47" s="49">
        <v>34.85</v>
      </c>
      <c r="K47" s="49">
        <v>8324</v>
      </c>
    </row>
    <row r="48" spans="2:19" x14ac:dyDescent="0.2">
      <c r="B48" s="48" t="s">
        <v>33</v>
      </c>
      <c r="C48" s="49">
        <v>93.68</v>
      </c>
      <c r="D48" s="49">
        <v>3.77</v>
      </c>
      <c r="E48" s="49">
        <v>1.18</v>
      </c>
      <c r="F48" s="49">
        <f>0.18+0.169</f>
        <v>0.34899999999999998</v>
      </c>
      <c r="G48" s="49">
        <f>0.0016+0.0293+0.0196</f>
        <v>5.0500000000000003E-2</v>
      </c>
      <c r="H48" s="49">
        <v>1.89E-2</v>
      </c>
      <c r="I48" s="49">
        <v>0.32500000000000001</v>
      </c>
      <c r="J48" s="49">
        <v>35.06</v>
      </c>
      <c r="K48" s="49">
        <v>8373</v>
      </c>
    </row>
    <row r="49" spans="2:19" x14ac:dyDescent="0.2">
      <c r="B49" s="48" t="s">
        <v>34</v>
      </c>
      <c r="C49" s="49">
        <v>93.41</v>
      </c>
      <c r="D49" s="49">
        <v>3.93</v>
      </c>
      <c r="E49" s="49">
        <v>1.25</v>
      </c>
      <c r="F49" s="49">
        <f>0.189+0.18</f>
        <v>0.36899999999999999</v>
      </c>
      <c r="G49" s="49">
        <f>0.0012+0.0294+0.011</f>
        <v>4.1599999999999998E-2</v>
      </c>
      <c r="H49" s="49">
        <v>1.89E-2</v>
      </c>
      <c r="I49" s="49">
        <v>0.33800000000000002</v>
      </c>
      <c r="J49" s="49">
        <v>35.14</v>
      </c>
      <c r="K49" s="49">
        <v>8393</v>
      </c>
    </row>
    <row r="50" spans="2:19" x14ac:dyDescent="0.2">
      <c r="B50" s="48" t="s">
        <v>21</v>
      </c>
      <c r="C50" s="49">
        <v>94.21</v>
      </c>
      <c r="D50" s="49">
        <v>3.3</v>
      </c>
      <c r="E50" s="49">
        <v>1.07</v>
      </c>
      <c r="F50" s="49">
        <f>0.169+0.167</f>
        <v>0.33600000000000002</v>
      </c>
      <c r="G50" s="49">
        <f>0.0012+0.0301+0.0215</f>
        <v>5.28E-2</v>
      </c>
      <c r="H50" s="49">
        <v>1.9199999999999998E-2</v>
      </c>
      <c r="I50" s="49">
        <v>0.29599999999999999</v>
      </c>
      <c r="J50" s="49">
        <v>34.85</v>
      </c>
      <c r="K50" s="49">
        <v>8324</v>
      </c>
    </row>
    <row r="51" spans="2:19" x14ac:dyDescent="0.2">
      <c r="B51" s="48" t="s">
        <v>35</v>
      </c>
      <c r="C51" s="49">
        <v>94.29</v>
      </c>
      <c r="D51" s="49">
        <v>3.3</v>
      </c>
      <c r="E51" s="49">
        <v>1.08</v>
      </c>
      <c r="F51" s="49">
        <f>0.171+0.166</f>
        <v>0.33700000000000002</v>
      </c>
      <c r="G51" s="49">
        <f>0.0012+0.0295+0.0196</f>
        <v>5.0299999999999997E-2</v>
      </c>
      <c r="H51" s="49">
        <v>1.5599999999999999E-2</v>
      </c>
      <c r="I51" s="49">
        <v>0.27300000000000002</v>
      </c>
      <c r="J51" s="49">
        <v>34.880000000000003</v>
      </c>
      <c r="K51" s="49">
        <v>8331</v>
      </c>
    </row>
    <row r="52" spans="2:19" x14ac:dyDescent="0.2">
      <c r="B52" s="48" t="s">
        <v>23</v>
      </c>
      <c r="C52" s="49">
        <v>93.67</v>
      </c>
      <c r="D52" s="49">
        <v>3.73</v>
      </c>
      <c r="E52" s="49">
        <v>1.18</v>
      </c>
      <c r="F52" s="49">
        <f>0.178+0.172</f>
        <v>0.35</v>
      </c>
      <c r="G52" s="49">
        <f>0.0011+0.0284+0.0204</f>
        <v>4.99E-2</v>
      </c>
      <c r="H52" s="49">
        <v>2.1100000000000001E-2</v>
      </c>
      <c r="I52" s="49">
        <v>0.31</v>
      </c>
      <c r="J52" s="49">
        <v>35.04</v>
      </c>
      <c r="K52" s="49">
        <v>8369</v>
      </c>
    </row>
    <row r="53" spans="2:19" x14ac:dyDescent="0.2">
      <c r="B53" s="48" t="s">
        <v>24</v>
      </c>
      <c r="C53" s="49">
        <v>93.92</v>
      </c>
      <c r="D53" s="49">
        <v>3.55</v>
      </c>
      <c r="E53" s="49">
        <v>1.1399999999999999</v>
      </c>
      <c r="F53" s="49">
        <f>0.174+0.163</f>
        <v>0.33699999999999997</v>
      </c>
      <c r="G53" s="49">
        <f>0.0013+0.0282+0.0187</f>
        <v>4.82E-2</v>
      </c>
      <c r="H53" s="49">
        <v>1.7500000000000002E-2</v>
      </c>
      <c r="I53" s="49">
        <v>0.307</v>
      </c>
      <c r="J53" s="49">
        <v>34.950000000000003</v>
      </c>
      <c r="K53" s="49">
        <v>8348</v>
      </c>
    </row>
    <row r="54" spans="2:19" x14ac:dyDescent="0.2">
      <c r="B54" s="48" t="s">
        <v>25</v>
      </c>
      <c r="C54" s="49">
        <v>94.68</v>
      </c>
      <c r="D54" s="49">
        <v>3.06</v>
      </c>
      <c r="E54" s="49">
        <v>0.99</v>
      </c>
      <c r="F54" s="49">
        <f>0.155+0.146</f>
        <v>0.30099999999999999</v>
      </c>
      <c r="G54" s="49">
        <f>0.0073+0.0206+0.014</f>
        <v>4.19E-2</v>
      </c>
      <c r="H54" s="49">
        <v>1.52E-2</v>
      </c>
      <c r="I54" s="49">
        <v>0.26600000000000001</v>
      </c>
      <c r="J54" s="49">
        <v>34.74</v>
      </c>
      <c r="K54" s="49">
        <v>8297</v>
      </c>
    </row>
    <row r="55" spans="2:19" x14ac:dyDescent="0.2">
      <c r="B55" s="48" t="s">
        <v>26</v>
      </c>
      <c r="C55" s="49">
        <v>94.59</v>
      </c>
      <c r="D55" s="49">
        <v>3.14</v>
      </c>
      <c r="E55" s="49">
        <v>1</v>
      </c>
      <c r="F55" s="49">
        <f>0.15+0.143</f>
        <v>0.29299999999999998</v>
      </c>
      <c r="G55" s="49">
        <f>0.0089+0.023+0.0154</f>
        <v>4.7299999999999995E-2</v>
      </c>
      <c r="H55" s="49">
        <v>1.3899999999999999E-2</v>
      </c>
      <c r="I55" s="49">
        <v>0.27700000000000002</v>
      </c>
      <c r="J55" s="49">
        <v>34.76</v>
      </c>
      <c r="K55" s="49">
        <v>8301</v>
      </c>
    </row>
    <row r="56" spans="2:19" x14ac:dyDescent="0.2">
      <c r="B56" s="50" t="s">
        <v>27</v>
      </c>
      <c r="C56" s="51">
        <f t="shared" ref="C56:K56" si="4">AVERAGE(C44:C54)</f>
        <v>94.318181818181813</v>
      </c>
      <c r="D56" s="51">
        <f t="shared" si="4"/>
        <v>3.3100000000000005</v>
      </c>
      <c r="E56" s="51">
        <f t="shared" si="4"/>
        <v>1.0472727272727274</v>
      </c>
      <c r="F56" s="51">
        <f t="shared" si="4"/>
        <v>0.31318181818181823</v>
      </c>
      <c r="G56" s="51">
        <f t="shared" si="4"/>
        <v>4.4181818181818183E-2</v>
      </c>
      <c r="H56" s="51">
        <f t="shared" si="4"/>
        <v>1.6872727272727272E-2</v>
      </c>
      <c r="I56" s="51">
        <f t="shared" si="4"/>
        <v>0.28036363636363637</v>
      </c>
      <c r="J56" s="51">
        <f t="shared" si="4"/>
        <v>34.832727272727276</v>
      </c>
      <c r="K56" s="51">
        <f t="shared" si="4"/>
        <v>8319.7272727272721</v>
      </c>
    </row>
    <row r="57" spans="2:19" x14ac:dyDescent="0.2">
      <c r="B57" s="50" t="s">
        <v>28</v>
      </c>
      <c r="C57" s="51">
        <f t="shared" ref="C57:I57" si="5">C56*C43</f>
        <v>94.318181818181813</v>
      </c>
      <c r="D57" s="51">
        <f t="shared" si="5"/>
        <v>6.620000000000001</v>
      </c>
      <c r="E57" s="51">
        <f t="shared" si="5"/>
        <v>3.1418181818181821</v>
      </c>
      <c r="F57" s="51">
        <f t="shared" si="5"/>
        <v>1.2527272727272729</v>
      </c>
      <c r="G57" s="51">
        <f t="shared" si="5"/>
        <v>0.22090909090909092</v>
      </c>
      <c r="H57" s="51">
        <f t="shared" si="5"/>
        <v>0.10123636363636362</v>
      </c>
      <c r="I57" s="51">
        <f t="shared" si="5"/>
        <v>0.28036363636363637</v>
      </c>
      <c r="J57" s="52"/>
      <c r="K57" s="53"/>
    </row>
    <row r="58" spans="2:19" x14ac:dyDescent="0.2">
      <c r="B58" s="46"/>
      <c r="C58" s="54"/>
      <c r="D58" s="54"/>
      <c r="E58" s="54"/>
      <c r="F58" s="54"/>
      <c r="G58" s="54"/>
      <c r="H58" s="54"/>
      <c r="I58" s="54"/>
      <c r="J58" s="54"/>
      <c r="K58" s="46"/>
    </row>
    <row r="59" spans="2:19" ht="15.75" thickBot="1" x14ac:dyDescent="0.25">
      <c r="B59" s="25" t="s">
        <v>95</v>
      </c>
      <c r="M59" s="15" t="s">
        <v>66</v>
      </c>
      <c r="N59" s="15"/>
      <c r="O59" s="15"/>
      <c r="P59" s="15"/>
      <c r="R59" s="15" t="s">
        <v>65</v>
      </c>
      <c r="S59" s="15"/>
    </row>
    <row r="60" spans="2:19" ht="16.5" thickBot="1" x14ac:dyDescent="0.3">
      <c r="B60" s="43"/>
      <c r="C60" s="123">
        <v>2025</v>
      </c>
      <c r="D60" s="124"/>
      <c r="E60" s="124"/>
      <c r="F60" s="124"/>
      <c r="G60" s="124"/>
      <c r="H60" s="124"/>
      <c r="I60" s="124"/>
      <c r="J60" s="124"/>
      <c r="K60" s="125"/>
      <c r="M60" s="131" t="s">
        <v>14</v>
      </c>
      <c r="N60" s="132"/>
      <c r="O60" s="132"/>
      <c r="P60" s="133"/>
      <c r="R60" s="40" t="s">
        <v>15</v>
      </c>
      <c r="S60" s="41" t="s">
        <v>7</v>
      </c>
    </row>
    <row r="61" spans="2:19" ht="19.5" x14ac:dyDescent="0.2">
      <c r="B61" s="46"/>
      <c r="C61" s="47" t="s">
        <v>56</v>
      </c>
      <c r="D61" s="47" t="s">
        <v>57</v>
      </c>
      <c r="E61" s="47" t="s">
        <v>58</v>
      </c>
      <c r="F61" s="47" t="s">
        <v>59</v>
      </c>
      <c r="G61" s="47" t="s">
        <v>60</v>
      </c>
      <c r="H61" s="47" t="s">
        <v>61</v>
      </c>
      <c r="I61" s="47" t="s">
        <v>62</v>
      </c>
      <c r="J61" s="129" t="s">
        <v>16</v>
      </c>
      <c r="K61" s="130"/>
      <c r="M61" s="27">
        <v>1000000</v>
      </c>
      <c r="N61" s="28" t="s">
        <v>17</v>
      </c>
      <c r="O61" s="28" t="s">
        <v>18</v>
      </c>
      <c r="P61" s="28">
        <v>0.1429</v>
      </c>
      <c r="R61" s="29">
        <f>SUM(C76:I76)*$B$91*0.01</f>
        <v>1.9509164156181826</v>
      </c>
      <c r="S61" s="28" t="s">
        <v>44</v>
      </c>
    </row>
    <row r="62" spans="2:19" ht="19.5" x14ac:dyDescent="0.2">
      <c r="B62" s="48" t="s">
        <v>19</v>
      </c>
      <c r="C62" s="49">
        <v>1</v>
      </c>
      <c r="D62" s="49">
        <v>2</v>
      </c>
      <c r="E62" s="49">
        <v>3</v>
      </c>
      <c r="F62" s="49">
        <v>4</v>
      </c>
      <c r="G62" s="49">
        <v>5</v>
      </c>
      <c r="H62" s="49">
        <v>6</v>
      </c>
      <c r="I62" s="49">
        <v>1</v>
      </c>
      <c r="J62" s="49" t="s">
        <v>63</v>
      </c>
      <c r="K62" s="49" t="s">
        <v>64</v>
      </c>
      <c r="M62" s="32">
        <v>1</v>
      </c>
      <c r="N62" s="33" t="s">
        <v>18</v>
      </c>
      <c r="O62" s="33" t="s">
        <v>20</v>
      </c>
      <c r="P62" s="33">
        <v>2.9307600321999999E-2</v>
      </c>
      <c r="R62" s="34">
        <f>R61/P64</f>
        <v>1.6399540404834971</v>
      </c>
      <c r="S62" s="33" t="s">
        <v>47</v>
      </c>
    </row>
    <row r="63" spans="2:19" ht="19.5" x14ac:dyDescent="0.2">
      <c r="B63" s="48" t="s">
        <v>29</v>
      </c>
      <c r="C63" s="31">
        <v>94.71</v>
      </c>
      <c r="D63" s="31">
        <v>3.08</v>
      </c>
      <c r="E63" s="31">
        <v>0.9</v>
      </c>
      <c r="F63" s="31">
        <f>0.149+0.138</f>
        <v>0.28700000000000003</v>
      </c>
      <c r="G63" s="31">
        <f>0.005+0.0251+0.0168</f>
        <v>4.6899999999999997E-2</v>
      </c>
      <c r="H63" s="31">
        <v>1.32E-2</v>
      </c>
      <c r="I63" s="31">
        <v>0.27500000000000002</v>
      </c>
      <c r="J63" s="31">
        <v>34.729999999999997</v>
      </c>
      <c r="K63" s="31">
        <v>8294</v>
      </c>
      <c r="M63" s="33">
        <v>1</v>
      </c>
      <c r="N63" s="33" t="s">
        <v>22</v>
      </c>
      <c r="O63" s="33" t="s">
        <v>17</v>
      </c>
      <c r="P63" s="32">
        <f>K75*1000</f>
        <v>8324818.1818181816</v>
      </c>
      <c r="R63" s="34">
        <f>R61/P46</f>
        <v>55.990853011858647</v>
      </c>
      <c r="S63" s="33" t="s">
        <v>48</v>
      </c>
    </row>
    <row r="64" spans="2:19" x14ac:dyDescent="0.2">
      <c r="B64" s="48" t="s">
        <v>30</v>
      </c>
      <c r="C64" s="31">
        <v>94.67</v>
      </c>
      <c r="D64" s="31">
        <v>3.1</v>
      </c>
      <c r="E64" s="31">
        <v>0.99</v>
      </c>
      <c r="F64" s="31">
        <f>0.152+0.141</f>
        <v>0.29299999999999998</v>
      </c>
      <c r="G64" s="31">
        <f>0.005+0.0235+0.0155</f>
        <v>4.3999999999999997E-2</v>
      </c>
      <c r="H64" s="31">
        <v>1.37E-2</v>
      </c>
      <c r="I64" s="31">
        <v>0.27700000000000002</v>
      </c>
      <c r="J64" s="31">
        <v>34.74</v>
      </c>
      <c r="K64" s="31">
        <v>8296</v>
      </c>
      <c r="M64" s="33">
        <v>1</v>
      </c>
      <c r="N64" s="33" t="s">
        <v>22</v>
      </c>
      <c r="O64" s="33" t="s">
        <v>18</v>
      </c>
      <c r="P64" s="33">
        <f>P61*(P63/M61)</f>
        <v>1.1896165181818183</v>
      </c>
    </row>
    <row r="65" spans="2:19" x14ac:dyDescent="0.2">
      <c r="B65" s="48" t="s">
        <v>31</v>
      </c>
      <c r="C65" s="31">
        <v>94.77</v>
      </c>
      <c r="D65" s="31">
        <v>3.06</v>
      </c>
      <c r="E65" s="31">
        <v>0.96</v>
      </c>
      <c r="F65" s="31">
        <f>0.146+0.137</f>
        <v>0.28300000000000003</v>
      </c>
      <c r="G65" s="31">
        <f>0.005+0.0224+0.015</f>
        <v>4.24E-2</v>
      </c>
      <c r="H65" s="31">
        <v>1.29E-2</v>
      </c>
      <c r="I65" s="31">
        <v>0.27</v>
      </c>
      <c r="J65" s="31">
        <v>34.71</v>
      </c>
      <c r="K65" s="31">
        <v>8290</v>
      </c>
      <c r="M65" s="33">
        <v>1</v>
      </c>
      <c r="N65" s="33" t="s">
        <v>22</v>
      </c>
      <c r="O65" s="33" t="s">
        <v>20</v>
      </c>
      <c r="P65" s="33">
        <f>P62*(P64/M62)</f>
        <v>3.4864805451321979E-2</v>
      </c>
    </row>
    <row r="66" spans="2:19" x14ac:dyDescent="0.2">
      <c r="B66" s="48" t="s">
        <v>32</v>
      </c>
      <c r="C66" s="31">
        <v>94.48</v>
      </c>
      <c r="D66" s="31">
        <v>3.26</v>
      </c>
      <c r="E66" s="31">
        <v>1.02</v>
      </c>
      <c r="F66" s="31">
        <f>0.15+0.141</f>
        <v>0.29099999999999998</v>
      </c>
      <c r="G66" s="31">
        <f>0.005+0.0221+0.0147</f>
        <v>4.1800000000000004E-2</v>
      </c>
      <c r="H66" s="31">
        <v>1.2500000000000001E-2</v>
      </c>
      <c r="I66" s="31">
        <v>0.28299999999999997</v>
      </c>
      <c r="J66" s="31">
        <v>34.78</v>
      </c>
      <c r="K66" s="31">
        <v>8308</v>
      </c>
    </row>
    <row r="67" spans="2:19" x14ac:dyDescent="0.2">
      <c r="B67" s="48" t="s">
        <v>33</v>
      </c>
      <c r="C67" s="31">
        <v>93.76</v>
      </c>
      <c r="D67" s="31">
        <v>3.75</v>
      </c>
      <c r="E67" s="31">
        <v>1.18</v>
      </c>
      <c r="F67" s="31">
        <f>0.176+0.167</f>
        <v>0.34299999999999997</v>
      </c>
      <c r="G67" s="31">
        <f>0.005+0.0272+0.0186</f>
        <v>5.0799999999999998E-2</v>
      </c>
      <c r="H67" s="31">
        <v>1.44E-2</v>
      </c>
      <c r="I67" s="31">
        <v>0.33100000000000002</v>
      </c>
      <c r="J67" s="31">
        <v>35.049999999999997</v>
      </c>
      <c r="K67" s="31">
        <v>8372</v>
      </c>
    </row>
    <row r="68" spans="2:19" x14ac:dyDescent="0.2">
      <c r="B68" s="48" t="s">
        <v>34</v>
      </c>
      <c r="C68" s="31">
        <v>93.45</v>
      </c>
      <c r="D68" s="31">
        <v>3.8</v>
      </c>
      <c r="E68" s="31">
        <v>1.21</v>
      </c>
      <c r="F68" s="31">
        <f>0.182+0.173</f>
        <v>0.35499999999999998</v>
      </c>
      <c r="G68" s="31">
        <f>0.005+0.0303+0.0217</f>
        <v>5.6999999999999995E-2</v>
      </c>
      <c r="H68" s="31">
        <v>1.6799999999999999E-2</v>
      </c>
      <c r="I68" s="31">
        <v>0.316</v>
      </c>
      <c r="J68" s="31">
        <v>34.979999999999997</v>
      </c>
      <c r="K68" s="31">
        <v>8356</v>
      </c>
    </row>
    <row r="69" spans="2:19" x14ac:dyDescent="0.2">
      <c r="B69" s="48" t="s">
        <v>21</v>
      </c>
      <c r="C69" s="31">
        <v>93.85</v>
      </c>
      <c r="D69" s="31">
        <v>3.54</v>
      </c>
      <c r="E69" s="31">
        <v>1.18</v>
      </c>
      <c r="F69" s="31">
        <f>0.187+0.176</f>
        <v>0.36299999999999999</v>
      </c>
      <c r="G69" s="31">
        <f>0.005+0.0305+0.0208</f>
        <v>5.6299999999999996E-2</v>
      </c>
      <c r="H69" s="31">
        <v>1.9900000000000001E-2</v>
      </c>
      <c r="I69" s="31">
        <v>0.39400000000000002</v>
      </c>
      <c r="J69" s="31">
        <v>34.99</v>
      </c>
      <c r="K69" s="31">
        <v>8357</v>
      </c>
    </row>
    <row r="70" spans="2:19" x14ac:dyDescent="0.2">
      <c r="B70" s="48" t="s">
        <v>35</v>
      </c>
      <c r="C70" s="31">
        <v>94.29</v>
      </c>
      <c r="D70" s="31">
        <v>3.32</v>
      </c>
      <c r="E70" s="31">
        <v>1.08</v>
      </c>
      <c r="F70" s="31">
        <f>0.169+0.162</f>
        <v>0.33100000000000002</v>
      </c>
      <c r="G70" s="31">
        <f>0.005+0.029+0.0208</f>
        <v>5.4800000000000001E-2</v>
      </c>
      <c r="H70" s="31">
        <v>1.54E-2</v>
      </c>
      <c r="I70" s="31">
        <v>0.32100000000000001</v>
      </c>
      <c r="J70" s="31">
        <v>34.880000000000003</v>
      </c>
      <c r="K70" s="31">
        <v>8331</v>
      </c>
    </row>
    <row r="71" spans="2:19" x14ac:dyDescent="0.2">
      <c r="B71" s="48" t="s">
        <v>23</v>
      </c>
      <c r="C71" s="31">
        <v>93.92</v>
      </c>
      <c r="D71" s="31">
        <v>3.62</v>
      </c>
      <c r="E71" s="31">
        <v>1.1399999999999999</v>
      </c>
      <c r="F71" s="31">
        <f>0.17+0.167</f>
        <v>0.33700000000000002</v>
      </c>
      <c r="G71" s="31">
        <f>0.005+0.0273+0.0192</f>
        <v>5.1500000000000004E-2</v>
      </c>
      <c r="H71" s="31">
        <v>1.83E-2</v>
      </c>
      <c r="I71" s="31">
        <v>0.32700000000000001</v>
      </c>
      <c r="J71" s="31">
        <v>35</v>
      </c>
      <c r="K71" s="31">
        <v>8359</v>
      </c>
    </row>
    <row r="72" spans="2:19" x14ac:dyDescent="0.2">
      <c r="B72" s="48" t="s">
        <v>24</v>
      </c>
      <c r="C72" s="31">
        <v>94.57</v>
      </c>
      <c r="D72" s="31">
        <v>3.21</v>
      </c>
      <c r="E72" s="31">
        <v>1</v>
      </c>
      <c r="F72" s="31">
        <f>0.152+0.14</f>
        <v>0.29200000000000004</v>
      </c>
      <c r="G72" s="31">
        <f>0.005+0.0239+0.0156</f>
        <v>4.4499999999999998E-2</v>
      </c>
      <c r="H72" s="31">
        <v>1.47E-2</v>
      </c>
      <c r="I72" s="31">
        <v>0.28199999999999997</v>
      </c>
      <c r="J72" s="31">
        <v>34.78</v>
      </c>
      <c r="K72" s="31">
        <v>8307</v>
      </c>
    </row>
    <row r="73" spans="2:19" x14ac:dyDescent="0.2">
      <c r="B73" s="48" t="s">
        <v>25</v>
      </c>
      <c r="C73" s="31">
        <v>94.62</v>
      </c>
      <c r="D73" s="31">
        <v>3.18</v>
      </c>
      <c r="E73" s="31">
        <v>0.99</v>
      </c>
      <c r="F73" s="31">
        <f>0.149+0.139</f>
        <v>0.28800000000000003</v>
      </c>
      <c r="G73" s="31">
        <f>0.005+0.0239+0.0161</f>
        <v>4.4999999999999998E-2</v>
      </c>
      <c r="H73" s="31">
        <v>1.38E-2</v>
      </c>
      <c r="I73" s="31">
        <v>0.27600000000000002</v>
      </c>
      <c r="J73" s="31">
        <v>34.76</v>
      </c>
      <c r="K73" s="31">
        <v>8303</v>
      </c>
    </row>
    <row r="74" spans="2:19" x14ac:dyDescent="0.2">
      <c r="B74" s="48" t="s">
        <v>26</v>
      </c>
      <c r="C74" s="31">
        <v>94.46</v>
      </c>
      <c r="D74" s="31">
        <v>3.25</v>
      </c>
      <c r="E74" s="31">
        <v>1</v>
      </c>
      <c r="F74" s="31">
        <f>0.147+0.14</f>
        <v>0.28700000000000003</v>
      </c>
      <c r="G74" s="31">
        <f>0.005+0.0225+0.0149</f>
        <v>4.24E-2</v>
      </c>
      <c r="H74" s="31">
        <v>1.7000000000000001E-2</v>
      </c>
      <c r="I74" s="31">
        <v>0.28100000000000003</v>
      </c>
      <c r="J74" s="31">
        <v>34.770000000000003</v>
      </c>
      <c r="K74" s="31">
        <v>8304</v>
      </c>
    </row>
    <row r="75" spans="2:19" x14ac:dyDescent="0.2">
      <c r="B75" s="50" t="s">
        <v>27</v>
      </c>
      <c r="C75" s="51">
        <f t="shared" ref="C75:K75" si="6">AVERAGE(C63:C73)</f>
        <v>94.280909090909105</v>
      </c>
      <c r="D75" s="51">
        <f t="shared" si="6"/>
        <v>3.3563636363636364</v>
      </c>
      <c r="E75" s="51">
        <f t="shared" si="6"/>
        <v>1.0590909090909091</v>
      </c>
      <c r="F75" s="51">
        <f t="shared" si="6"/>
        <v>0.31481818181818183</v>
      </c>
      <c r="G75" s="51">
        <f t="shared" si="6"/>
        <v>4.8636363636363637E-2</v>
      </c>
      <c r="H75" s="51">
        <f t="shared" si="6"/>
        <v>1.5054545454545454E-2</v>
      </c>
      <c r="I75" s="51">
        <f t="shared" si="6"/>
        <v>0.30472727272727274</v>
      </c>
      <c r="J75" s="51">
        <f t="shared" si="6"/>
        <v>34.854545454545452</v>
      </c>
      <c r="K75" s="51">
        <f t="shared" si="6"/>
        <v>8324.818181818182</v>
      </c>
    </row>
    <row r="76" spans="2:19" x14ac:dyDescent="0.2">
      <c r="B76" s="50" t="s">
        <v>28</v>
      </c>
      <c r="C76" s="51">
        <f t="shared" ref="C76:I76" si="7">C75*C62</f>
        <v>94.280909090909105</v>
      </c>
      <c r="D76" s="51">
        <f t="shared" si="7"/>
        <v>6.7127272727272729</v>
      </c>
      <c r="E76" s="51">
        <f t="shared" si="7"/>
        <v>3.1772727272727272</v>
      </c>
      <c r="F76" s="51">
        <f t="shared" si="7"/>
        <v>1.2592727272727273</v>
      </c>
      <c r="G76" s="51">
        <f t="shared" si="7"/>
        <v>0.24318181818181819</v>
      </c>
      <c r="H76" s="51">
        <f t="shared" si="7"/>
        <v>9.0327272727272728E-2</v>
      </c>
      <c r="I76" s="51">
        <f t="shared" si="7"/>
        <v>0.30472727272727274</v>
      </c>
      <c r="J76" s="52"/>
      <c r="K76" s="53"/>
    </row>
    <row r="77" spans="2:19" x14ac:dyDescent="0.2">
      <c r="B77" s="46"/>
      <c r="C77" s="54"/>
      <c r="D77" s="54"/>
      <c r="E77" s="54"/>
      <c r="F77" s="54"/>
      <c r="G77" s="54"/>
      <c r="H77" s="54"/>
      <c r="I77" s="54"/>
      <c r="J77" s="54"/>
      <c r="K77" s="46"/>
    </row>
    <row r="78" spans="2:19" ht="15.75" thickBot="1" x14ac:dyDescent="0.25">
      <c r="B78" s="25" t="s">
        <v>94</v>
      </c>
      <c r="M78" s="15" t="s">
        <v>68</v>
      </c>
      <c r="N78" s="15"/>
      <c r="O78" s="15"/>
      <c r="P78" s="15"/>
      <c r="R78" s="15" t="s">
        <v>67</v>
      </c>
      <c r="S78" s="15"/>
    </row>
    <row r="79" spans="2:19" ht="16.5" thickBot="1" x14ac:dyDescent="0.3">
      <c r="B79" s="43"/>
      <c r="C79" s="123">
        <v>2026</v>
      </c>
      <c r="D79" s="124"/>
      <c r="E79" s="124"/>
      <c r="F79" s="124"/>
      <c r="G79" s="124"/>
      <c r="H79" s="124"/>
      <c r="I79" s="124"/>
      <c r="J79" s="124"/>
      <c r="K79" s="125"/>
      <c r="M79" s="131" t="s">
        <v>14</v>
      </c>
      <c r="N79" s="132"/>
      <c r="O79" s="132"/>
      <c r="P79" s="133"/>
      <c r="R79" s="40" t="s">
        <v>15</v>
      </c>
      <c r="S79" s="41" t="s">
        <v>7</v>
      </c>
    </row>
    <row r="80" spans="2:19" ht="19.5" x14ac:dyDescent="0.2">
      <c r="B80" s="46"/>
      <c r="C80" s="47" t="s">
        <v>56</v>
      </c>
      <c r="D80" s="47" t="s">
        <v>57</v>
      </c>
      <c r="E80" s="47" t="s">
        <v>58</v>
      </c>
      <c r="F80" s="47" t="s">
        <v>59</v>
      </c>
      <c r="G80" s="47" t="s">
        <v>60</v>
      </c>
      <c r="H80" s="47" t="s">
        <v>61</v>
      </c>
      <c r="I80" s="47" t="s">
        <v>62</v>
      </c>
      <c r="J80" s="129" t="s">
        <v>16</v>
      </c>
      <c r="K80" s="130"/>
      <c r="M80" s="27">
        <v>1000000</v>
      </c>
      <c r="N80" s="28" t="s">
        <v>17</v>
      </c>
      <c r="O80" s="28" t="s">
        <v>18</v>
      </c>
      <c r="P80" s="28">
        <v>0.1429</v>
      </c>
      <c r="R80" s="29">
        <f>SUM(C87:I87)*$B$91*0.01</f>
        <v>1.9383389478000002</v>
      </c>
      <c r="S80" s="28" t="s">
        <v>44</v>
      </c>
    </row>
    <row r="81" spans="2:19" ht="19.5" x14ac:dyDescent="0.2">
      <c r="B81" s="48" t="s">
        <v>19</v>
      </c>
      <c r="C81" s="49">
        <v>1</v>
      </c>
      <c r="D81" s="49">
        <v>2</v>
      </c>
      <c r="E81" s="49">
        <v>3</v>
      </c>
      <c r="F81" s="49">
        <v>4</v>
      </c>
      <c r="G81" s="49">
        <v>5</v>
      </c>
      <c r="H81" s="49">
        <v>6</v>
      </c>
      <c r="I81" s="49">
        <v>1</v>
      </c>
      <c r="J81" s="49" t="s">
        <v>63</v>
      </c>
      <c r="K81" s="49" t="s">
        <v>64</v>
      </c>
      <c r="M81" s="32">
        <v>1</v>
      </c>
      <c r="N81" s="33" t="s">
        <v>18</v>
      </c>
      <c r="O81" s="33" t="s">
        <v>20</v>
      </c>
      <c r="P81" s="33">
        <v>2.9307600321999999E-2</v>
      </c>
      <c r="R81" s="34">
        <f>R80/P83</f>
        <v>1.6372616365728503</v>
      </c>
      <c r="S81" s="33" t="s">
        <v>47</v>
      </c>
    </row>
    <row r="82" spans="2:19" ht="19.5" x14ac:dyDescent="0.2">
      <c r="B82" s="48" t="s">
        <v>29</v>
      </c>
      <c r="C82" s="31">
        <v>94.85</v>
      </c>
      <c r="D82" s="31">
        <v>2.98</v>
      </c>
      <c r="E82" s="31">
        <v>0.92</v>
      </c>
      <c r="F82" s="31">
        <f>0.139+0.128</f>
        <v>0.26700000000000002</v>
      </c>
      <c r="G82" s="31">
        <f>0.0213+0.0145+0.005</f>
        <v>4.0799999999999996E-2</v>
      </c>
      <c r="H82" s="31">
        <v>1.4999999999999999E-2</v>
      </c>
      <c r="I82" s="31">
        <v>0.26</v>
      </c>
      <c r="J82" s="31">
        <v>34.64</v>
      </c>
      <c r="K82" s="31">
        <v>8273</v>
      </c>
      <c r="M82" s="33">
        <v>1</v>
      </c>
      <c r="N82" s="33" t="s">
        <v>22</v>
      </c>
      <c r="O82" s="33" t="s">
        <v>17</v>
      </c>
      <c r="P82" s="32">
        <f>K86*1000</f>
        <v>8284750</v>
      </c>
      <c r="R82" s="34">
        <f>R80/P46</f>
        <v>55.629882574462385</v>
      </c>
      <c r="S82" s="33" t="s">
        <v>48</v>
      </c>
    </row>
    <row r="83" spans="2:19" x14ac:dyDescent="0.2">
      <c r="B83" s="48" t="s">
        <v>30</v>
      </c>
      <c r="C83" s="31">
        <v>95.07</v>
      </c>
      <c r="D83" s="31">
        <v>2.84</v>
      </c>
      <c r="E83" s="31">
        <v>0.88</v>
      </c>
      <c r="F83" s="31">
        <f>0.13+0.121</f>
        <v>0.251</v>
      </c>
      <c r="G83" s="31">
        <f>0.0126+0.005+0.0187</f>
        <v>3.6299999999999999E-2</v>
      </c>
      <c r="H83" s="31">
        <v>1.23E-2</v>
      </c>
      <c r="I83" s="31">
        <v>0.251</v>
      </c>
      <c r="J83" s="31">
        <v>34.56</v>
      </c>
      <c r="K83" s="31">
        <v>8254</v>
      </c>
      <c r="M83" s="33">
        <v>1</v>
      </c>
      <c r="N83" s="33" t="s">
        <v>22</v>
      </c>
      <c r="O83" s="33" t="s">
        <v>18</v>
      </c>
      <c r="P83" s="33">
        <f>P80*(P82/M80)</f>
        <v>1.1838907750000001</v>
      </c>
    </row>
    <row r="84" spans="2:19" x14ac:dyDescent="0.2">
      <c r="B84" s="48" t="s">
        <v>31</v>
      </c>
      <c r="C84" s="31">
        <v>94.7</v>
      </c>
      <c r="D84" s="31">
        <v>3.13</v>
      </c>
      <c r="E84" s="31">
        <v>0.96</v>
      </c>
      <c r="F84" s="31">
        <f>0.143+0.134</f>
        <v>0.27700000000000002</v>
      </c>
      <c r="G84" s="31">
        <f>0.0215+0.0149+0.005</f>
        <v>4.1399999999999999E-2</v>
      </c>
      <c r="H84" s="31">
        <v>1.2E-2</v>
      </c>
      <c r="I84" s="31">
        <v>0.27200000000000002</v>
      </c>
      <c r="J84" s="31">
        <v>34.72</v>
      </c>
      <c r="K84" s="31">
        <v>8293</v>
      </c>
      <c r="M84" s="33">
        <v>1</v>
      </c>
      <c r="N84" s="33" t="s">
        <v>22</v>
      </c>
      <c r="O84" s="33" t="s">
        <v>20</v>
      </c>
      <c r="P84" s="33">
        <f>P81*(P83/M81)</f>
        <v>3.4696997658602832E-2</v>
      </c>
    </row>
    <row r="85" spans="2:19" x14ac:dyDescent="0.2">
      <c r="B85" s="48" t="s">
        <v>32</v>
      </c>
      <c r="C85" s="31">
        <v>94.44</v>
      </c>
      <c r="D85" s="31">
        <v>3.31</v>
      </c>
      <c r="E85" s="31">
        <v>1.03</v>
      </c>
      <c r="F85" s="31">
        <f>0.156+0.145</f>
        <v>0.30099999999999999</v>
      </c>
      <c r="G85" s="31">
        <f>0.0239+0.0168+0.005</f>
        <v>4.5699999999999998E-2</v>
      </c>
      <c r="H85" s="31">
        <v>1.3599999999999999E-2</v>
      </c>
      <c r="I85" s="31">
        <v>0.28299999999999997</v>
      </c>
      <c r="J85" s="31">
        <v>34.83</v>
      </c>
      <c r="K85" s="31">
        <v>8319</v>
      </c>
    </row>
    <row r="86" spans="2:19" x14ac:dyDescent="0.2">
      <c r="B86" s="50" t="s">
        <v>27</v>
      </c>
      <c r="C86" s="51">
        <f t="shared" ref="C86:K86" si="8">AVERAGE(C82:C85)</f>
        <v>94.765000000000001</v>
      </c>
      <c r="D86" s="51">
        <f t="shared" si="8"/>
        <v>3.0649999999999999</v>
      </c>
      <c r="E86" s="51">
        <f t="shared" si="8"/>
        <v>0.94750000000000001</v>
      </c>
      <c r="F86" s="51">
        <f t="shared" si="8"/>
        <v>0.27400000000000002</v>
      </c>
      <c r="G86" s="51">
        <f t="shared" si="8"/>
        <v>4.1049999999999996E-2</v>
      </c>
      <c r="H86" s="51">
        <f t="shared" si="8"/>
        <v>1.3225000000000001E-2</v>
      </c>
      <c r="I86" s="51">
        <f t="shared" si="8"/>
        <v>0.26650000000000001</v>
      </c>
      <c r="J86" s="51">
        <f t="shared" si="8"/>
        <v>34.6875</v>
      </c>
      <c r="K86" s="51">
        <f t="shared" si="8"/>
        <v>8284.75</v>
      </c>
    </row>
    <row r="87" spans="2:19" x14ac:dyDescent="0.2">
      <c r="B87" s="50" t="s">
        <v>28</v>
      </c>
      <c r="C87" s="51">
        <f t="shared" ref="C87:I87" si="9">C86*C81</f>
        <v>94.765000000000001</v>
      </c>
      <c r="D87" s="51">
        <f t="shared" si="9"/>
        <v>6.13</v>
      </c>
      <c r="E87" s="51">
        <f t="shared" si="9"/>
        <v>2.8425000000000002</v>
      </c>
      <c r="F87" s="51">
        <f t="shared" si="9"/>
        <v>1.0960000000000001</v>
      </c>
      <c r="G87" s="51">
        <f t="shared" si="9"/>
        <v>0.20524999999999999</v>
      </c>
      <c r="H87" s="51">
        <f t="shared" si="9"/>
        <v>7.9350000000000004E-2</v>
      </c>
      <c r="I87" s="51">
        <f t="shared" si="9"/>
        <v>0.26650000000000001</v>
      </c>
      <c r="J87" s="52"/>
      <c r="K87" s="53"/>
    </row>
    <row r="88" spans="2:19" x14ac:dyDescent="0.2">
      <c r="B88" s="46"/>
      <c r="C88" s="54"/>
      <c r="D88" s="54"/>
      <c r="E88" s="54"/>
      <c r="F88" s="54"/>
      <c r="G88" s="54"/>
      <c r="H88" s="54"/>
      <c r="I88" s="54"/>
      <c r="J88" s="54"/>
      <c r="K88" s="46"/>
    </row>
    <row r="89" spans="2:19" ht="20.25" thickBot="1" x14ac:dyDescent="0.4">
      <c r="B89" s="15" t="s">
        <v>90</v>
      </c>
    </row>
    <row r="90" spans="2:19" ht="19.5" thickBot="1" x14ac:dyDescent="0.25">
      <c r="B90" s="40" t="s">
        <v>49</v>
      </c>
      <c r="C90" s="120" t="s">
        <v>0</v>
      </c>
      <c r="D90" s="121"/>
    </row>
    <row r="91" spans="2:19" x14ac:dyDescent="0.2">
      <c r="B91" s="28">
        <v>1.8392999999999999</v>
      </c>
      <c r="C91" s="122" t="s">
        <v>36</v>
      </c>
      <c r="D91" s="122"/>
    </row>
    <row r="93" spans="2:19" ht="15.75" thickBot="1" x14ac:dyDescent="0.25">
      <c r="B93" s="15" t="s">
        <v>92</v>
      </c>
    </row>
    <row r="94" spans="2:19" ht="32.25" thickBot="1" x14ac:dyDescent="0.25">
      <c r="B94" s="64" t="s">
        <v>93</v>
      </c>
      <c r="C94" s="120" t="s">
        <v>0</v>
      </c>
      <c r="D94" s="121"/>
    </row>
    <row r="95" spans="2:19" ht="28.5" customHeight="1" x14ac:dyDescent="0.2">
      <c r="B95" s="65">
        <v>5600</v>
      </c>
      <c r="C95" s="138" t="s">
        <v>91</v>
      </c>
      <c r="D95" s="138"/>
    </row>
    <row r="97" spans="2:4" ht="15.75" thickBot="1" x14ac:dyDescent="0.25">
      <c r="B97" s="15" t="s">
        <v>121</v>
      </c>
    </row>
    <row r="98" spans="2:4" ht="19.5" thickBot="1" x14ac:dyDescent="0.25">
      <c r="B98" s="40" t="s">
        <v>49</v>
      </c>
      <c r="C98" s="120" t="s">
        <v>0</v>
      </c>
      <c r="D98" s="121"/>
    </row>
    <row r="99" spans="2:4" ht="19.5" x14ac:dyDescent="0.2">
      <c r="B99" s="29">
        <f>AVERAGE(R4,R23,R42,R61)</f>
        <v>1.9437902515542613</v>
      </c>
      <c r="C99" s="139" t="s">
        <v>44</v>
      </c>
      <c r="D99" s="140"/>
    </row>
    <row r="100" spans="2:4" ht="19.5" x14ac:dyDescent="0.2">
      <c r="B100" s="29">
        <f>AVERAGE(R5,R24,R43)</f>
        <v>1.6379276268689591</v>
      </c>
      <c r="C100" s="136" t="s">
        <v>47</v>
      </c>
      <c r="D100" s="137"/>
    </row>
    <row r="101" spans="2:4" ht="19.5" x14ac:dyDescent="0.2">
      <c r="B101" s="29">
        <f>AVERAGE(R6,R25,R44)</f>
        <v>55.887469764606927</v>
      </c>
      <c r="C101" s="136" t="s">
        <v>48</v>
      </c>
      <c r="D101" s="137"/>
    </row>
  </sheetData>
  <mergeCells count="23">
    <mergeCell ref="C101:D101"/>
    <mergeCell ref="C94:D94"/>
    <mergeCell ref="C95:D95"/>
    <mergeCell ref="C98:D98"/>
    <mergeCell ref="C99:D99"/>
    <mergeCell ref="C100:D100"/>
    <mergeCell ref="C22:K22"/>
    <mergeCell ref="M22:P22"/>
    <mergeCell ref="J23:K23"/>
    <mergeCell ref="C3:K3"/>
    <mergeCell ref="M3:P3"/>
    <mergeCell ref="J4:K4"/>
    <mergeCell ref="C90:D90"/>
    <mergeCell ref="C91:D91"/>
    <mergeCell ref="C41:K41"/>
    <mergeCell ref="M41:P41"/>
    <mergeCell ref="J42:K42"/>
    <mergeCell ref="C60:K60"/>
    <mergeCell ref="J61:K61"/>
    <mergeCell ref="M60:P60"/>
    <mergeCell ref="C79:K79"/>
    <mergeCell ref="M79:P79"/>
    <mergeCell ref="J80:K80"/>
  </mergeCells>
  <pageMargins left="0.7" right="0.7" top="0.75" bottom="0.75" header="0.3" footer="0.3"/>
  <pageSetup paperSize="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ACF82-B06D-477E-B353-474D3E2F0592}">
  <dimension ref="A1"/>
  <sheetViews>
    <sheetView showGridLines="0" zoomScale="40" zoomScaleNormal="40" workbookViewId="0">
      <selection activeCell="AN99" sqref="AN99"/>
    </sheetView>
  </sheetViews>
  <sheetFormatPr defaultColWidth="8.85546875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E3F68-6851-46E7-92BE-64393D28F421}">
  <dimension ref="B2:U71"/>
  <sheetViews>
    <sheetView showGridLines="0" zoomScale="85" zoomScaleNormal="85" workbookViewId="0">
      <pane xSplit="2" topLeftCell="C1" activePane="topRight" state="frozen"/>
      <selection pane="topRight" activeCell="P14" sqref="P14"/>
    </sheetView>
  </sheetViews>
  <sheetFormatPr defaultColWidth="9.140625" defaultRowHeight="14.25" x14ac:dyDescent="0.2"/>
  <cols>
    <col min="1" max="1" width="5.7109375" style="1" customWidth="1"/>
    <col min="2" max="2" width="68.85546875" style="1" customWidth="1"/>
    <col min="3" max="3" width="21.85546875" style="9" customWidth="1"/>
    <col min="4" max="4" width="12.85546875" style="9" customWidth="1"/>
    <col min="5" max="5" width="12.7109375" style="24" customWidth="1"/>
    <col min="6" max="9" width="14.28515625" style="9" bestFit="1" customWidth="1"/>
    <col min="10" max="13" width="14.28515625" style="9" customWidth="1"/>
    <col min="14" max="14" width="13.85546875" style="9" customWidth="1"/>
    <col min="15" max="15" width="21.140625" style="1" customWidth="1"/>
    <col min="16" max="16384" width="9.140625" style="1"/>
  </cols>
  <sheetData>
    <row r="2" spans="2:20" s="17" customFormat="1" ht="15" x14ac:dyDescent="0.25">
      <c r="C2" s="141" t="s">
        <v>10</v>
      </c>
      <c r="D2" s="141"/>
      <c r="E2" s="142" t="s">
        <v>11</v>
      </c>
      <c r="F2" s="141"/>
      <c r="G2" s="141"/>
      <c r="H2" s="141"/>
      <c r="I2" s="141"/>
      <c r="J2" s="141"/>
      <c r="K2" s="141"/>
      <c r="L2" s="141"/>
      <c r="M2" s="141"/>
      <c r="N2" s="141"/>
    </row>
    <row r="4" spans="2:20" ht="30.75" customHeight="1" x14ac:dyDescent="0.25">
      <c r="B4" s="5" t="s">
        <v>8</v>
      </c>
      <c r="C4" s="11" t="s">
        <v>89</v>
      </c>
      <c r="D4" s="66" t="s">
        <v>125</v>
      </c>
      <c r="E4" s="67" t="s">
        <v>101</v>
      </c>
      <c r="F4" s="6">
        <v>2027</v>
      </c>
      <c r="G4" s="6">
        <v>2028</v>
      </c>
      <c r="H4" s="6">
        <v>2029</v>
      </c>
      <c r="I4" s="6">
        <v>2030</v>
      </c>
      <c r="J4" s="6">
        <v>2031</v>
      </c>
      <c r="K4" s="6">
        <v>2032</v>
      </c>
      <c r="L4" s="6">
        <v>2033</v>
      </c>
      <c r="M4" s="6">
        <v>2034</v>
      </c>
      <c r="N4" s="6">
        <v>2035</v>
      </c>
    </row>
    <row r="5" spans="2:20" ht="17.25" customHeight="1" x14ac:dyDescent="0.2">
      <c r="B5" s="7" t="s">
        <v>100</v>
      </c>
      <c r="C5" s="4">
        <f>'Исходные данные'!D14+'Исходные данные'!E14</f>
        <v>1509.5540000000001</v>
      </c>
      <c r="D5" s="100">
        <f>'Исходные данные'!F14+'Исходные данные'!G14+'Исходные данные'!H14</f>
        <v>2997.1790000000001</v>
      </c>
      <c r="E5" s="96">
        <f>'Исходные данные'!G8*'Исходные данные'!G9/'Исходные данные'!G6*7/12</f>
        <v>11722.343975619873</v>
      </c>
      <c r="F5" s="4">
        <f>'Исходные данные'!$G$8*'Исходные данные'!$G$9/'Исходные данные'!$G$6</f>
        <v>20095.446815348354</v>
      </c>
      <c r="G5" s="4">
        <f>'Исходные данные'!$G$8*'Исходные данные'!$G$9/'Исходные данные'!$G$6</f>
        <v>20095.446815348354</v>
      </c>
      <c r="H5" s="4">
        <f>'Исходные данные'!$G$8*'Исходные данные'!$G$9/'Исходные данные'!$G$6</f>
        <v>20095.446815348354</v>
      </c>
      <c r="I5" s="4">
        <f>'Исходные данные'!$G$8*'Исходные данные'!$G$9/'Исходные данные'!$G$6</f>
        <v>20095.446815348354</v>
      </c>
      <c r="J5" s="4">
        <f>'Исходные данные'!$G$8*'Исходные данные'!$G$9/'Исходные данные'!$G$6</f>
        <v>20095.446815348354</v>
      </c>
      <c r="K5" s="4">
        <f>'Исходные данные'!$G$8*'Исходные данные'!$G$9/'Исходные данные'!$G$6</f>
        <v>20095.446815348354</v>
      </c>
      <c r="L5" s="4">
        <f>'Исходные данные'!$G$8*'Исходные данные'!$G$9/'Исходные данные'!$G$6</f>
        <v>20095.446815348354</v>
      </c>
      <c r="M5" s="4">
        <f>'Исходные данные'!$G$8*'Исходные данные'!$G$9/'Исходные данные'!$G$6</f>
        <v>20095.446815348354</v>
      </c>
      <c r="N5" s="4">
        <f>'Исходные данные'!$G$8*'Исходные данные'!$G$9/'Исходные данные'!$G$6</f>
        <v>20095.446815348354</v>
      </c>
    </row>
    <row r="6" spans="2:20" ht="17.25" customHeight="1" x14ac:dyDescent="0.2">
      <c r="B6" s="7" t="s">
        <v>120</v>
      </c>
      <c r="C6" s="22">
        <f>'Исходные данные'!$G$6</f>
        <v>2.3822669397036464E-2</v>
      </c>
      <c r="D6" s="101">
        <f>'Исходные данные'!$G$6</f>
        <v>2.3822669397036464E-2</v>
      </c>
      <c r="E6" s="97">
        <f>'Исходные данные'!$G$6</f>
        <v>2.3822669397036464E-2</v>
      </c>
      <c r="F6" s="22">
        <f>'Исходные данные'!$G$6</f>
        <v>2.3822669397036464E-2</v>
      </c>
      <c r="G6" s="22">
        <f>'Исходные данные'!$G$6</f>
        <v>2.3822669397036464E-2</v>
      </c>
      <c r="H6" s="22">
        <f>'Исходные данные'!$G$6</f>
        <v>2.3822669397036464E-2</v>
      </c>
      <c r="I6" s="22">
        <f>'Исходные данные'!$G$6</f>
        <v>2.3822669397036464E-2</v>
      </c>
      <c r="J6" s="22">
        <f>'Исходные данные'!$G$6</f>
        <v>2.3822669397036464E-2</v>
      </c>
      <c r="K6" s="22">
        <f>'Исходные данные'!$G$6</f>
        <v>2.3822669397036464E-2</v>
      </c>
      <c r="L6" s="22">
        <f>'Исходные данные'!$G$6</f>
        <v>2.3822669397036464E-2</v>
      </c>
      <c r="M6" s="22">
        <f>'Исходные данные'!$G$6</f>
        <v>2.3822669397036464E-2</v>
      </c>
      <c r="N6" s="22">
        <f>'Исходные данные'!$G$6</f>
        <v>2.3822669397036464E-2</v>
      </c>
    </row>
    <row r="7" spans="2:20" ht="17.25" customHeight="1" x14ac:dyDescent="0.2">
      <c r="B7" s="7" t="s">
        <v>124</v>
      </c>
      <c r="C7" s="4">
        <f>C5*C6</f>
        <v>35.961605878973984</v>
      </c>
      <c r="D7" s="100">
        <f>D5*D6</f>
        <v>71.400804440740359</v>
      </c>
      <c r="E7" s="96">
        <f>E5*E6</f>
        <v>279.25752508953428</v>
      </c>
      <c r="F7" s="96">
        <f t="shared" ref="F7:N7" si="0">F5*F6</f>
        <v>478.72718586777307</v>
      </c>
      <c r="G7" s="96">
        <f t="shared" si="0"/>
        <v>478.72718586777307</v>
      </c>
      <c r="H7" s="96">
        <f t="shared" si="0"/>
        <v>478.72718586777307</v>
      </c>
      <c r="I7" s="96">
        <f t="shared" si="0"/>
        <v>478.72718586777307</v>
      </c>
      <c r="J7" s="96">
        <f t="shared" si="0"/>
        <v>478.72718586777307</v>
      </c>
      <c r="K7" s="96">
        <f t="shared" si="0"/>
        <v>478.72718586777307</v>
      </c>
      <c r="L7" s="96">
        <f t="shared" si="0"/>
        <v>478.72718586777307</v>
      </c>
      <c r="M7" s="96">
        <f t="shared" si="0"/>
        <v>478.72718586777307</v>
      </c>
      <c r="N7" s="96">
        <f t="shared" si="0"/>
        <v>478.72718586777307</v>
      </c>
    </row>
    <row r="8" spans="2:20" ht="17.25" customHeight="1" x14ac:dyDescent="0.2">
      <c r="B8" s="7" t="s">
        <v>99</v>
      </c>
      <c r="C8" s="21">
        <f>'Природный газ'!R63</f>
        <v>55.990853011858647</v>
      </c>
      <c r="D8" s="99">
        <f>'Природный газ'!R82</f>
        <v>55.629882574462385</v>
      </c>
      <c r="E8" s="98">
        <f>'Природный газ'!$B$101</f>
        <v>55.887469764606927</v>
      </c>
      <c r="F8" s="21">
        <f>'Природный газ'!$B$101</f>
        <v>55.887469764606927</v>
      </c>
      <c r="G8" s="21">
        <f>'Природный газ'!$B$101</f>
        <v>55.887469764606927</v>
      </c>
      <c r="H8" s="21">
        <f>'Природный газ'!$B$101</f>
        <v>55.887469764606927</v>
      </c>
      <c r="I8" s="21">
        <f>'Природный газ'!$B$101</f>
        <v>55.887469764606927</v>
      </c>
      <c r="J8" s="21">
        <f>'Природный газ'!$B$101</f>
        <v>55.887469764606927</v>
      </c>
      <c r="K8" s="21">
        <f>'Природный газ'!$B$101</f>
        <v>55.887469764606927</v>
      </c>
      <c r="L8" s="21">
        <f>'Природный газ'!$B$101</f>
        <v>55.887469764606927</v>
      </c>
      <c r="M8" s="21">
        <f>'Природный газ'!$B$101</f>
        <v>55.887469764606927</v>
      </c>
      <c r="N8" s="21">
        <f>'Природный газ'!$B$101</f>
        <v>55.887469764606927</v>
      </c>
    </row>
    <row r="9" spans="2:20" ht="17.25" customHeight="1" x14ac:dyDescent="0.2">
      <c r="B9" s="72" t="s">
        <v>140</v>
      </c>
      <c r="C9" s="181">
        <v>1</v>
      </c>
      <c r="D9" s="182">
        <v>1</v>
      </c>
      <c r="E9" s="183">
        <v>1</v>
      </c>
      <c r="F9" s="181">
        <v>1</v>
      </c>
      <c r="G9" s="181">
        <v>1</v>
      </c>
      <c r="H9" s="181">
        <v>1</v>
      </c>
      <c r="I9" s="181">
        <v>1</v>
      </c>
      <c r="J9" s="181">
        <v>1</v>
      </c>
      <c r="K9" s="181">
        <v>1</v>
      </c>
      <c r="L9" s="181">
        <v>1</v>
      </c>
      <c r="M9" s="181">
        <v>1</v>
      </c>
      <c r="N9" s="181">
        <v>1</v>
      </c>
    </row>
    <row r="10" spans="2:20" ht="17.25" customHeight="1" x14ac:dyDescent="0.2">
      <c r="B10" s="23" t="s">
        <v>1</v>
      </c>
      <c r="C10" s="4">
        <f>C8*C9*C7</f>
        <v>2013.5209888400241</v>
      </c>
      <c r="D10" s="100">
        <f t="shared" ref="D10:N10" si="1">D8*D9*D7</f>
        <v>3972.0183667605388</v>
      </c>
      <c r="E10" s="96">
        <f t="shared" si="1"/>
        <v>15606.996489980307</v>
      </c>
      <c r="F10" s="4">
        <f t="shared" si="1"/>
        <v>26754.851125680529</v>
      </c>
      <c r="G10" s="4">
        <f t="shared" si="1"/>
        <v>26754.851125680529</v>
      </c>
      <c r="H10" s="4">
        <f t="shared" si="1"/>
        <v>26754.851125680529</v>
      </c>
      <c r="I10" s="4">
        <f t="shared" si="1"/>
        <v>26754.851125680529</v>
      </c>
      <c r="J10" s="4">
        <f t="shared" si="1"/>
        <v>26754.851125680529</v>
      </c>
      <c r="K10" s="4">
        <f t="shared" si="1"/>
        <v>26754.851125680529</v>
      </c>
      <c r="L10" s="4">
        <f t="shared" si="1"/>
        <v>26754.851125680529</v>
      </c>
      <c r="M10" s="4">
        <f t="shared" si="1"/>
        <v>26754.851125680529</v>
      </c>
      <c r="N10" s="4">
        <f t="shared" si="1"/>
        <v>26754.851125680529</v>
      </c>
      <c r="O10" s="74"/>
    </row>
    <row r="11" spans="2:20" ht="17.25" customHeight="1" x14ac:dyDescent="0.2">
      <c r="B11" s="68"/>
      <c r="C11" s="69"/>
      <c r="D11" s="69"/>
      <c r="E11" s="70"/>
      <c r="F11" s="71"/>
      <c r="G11" s="71"/>
      <c r="H11" s="71"/>
      <c r="I11" s="71"/>
      <c r="J11" s="71"/>
      <c r="K11" s="71"/>
      <c r="L11" s="71"/>
      <c r="M11" s="71"/>
      <c r="N11" s="71"/>
    </row>
    <row r="13" spans="2:20" ht="30" customHeight="1" x14ac:dyDescent="0.25">
      <c r="B13" s="5" t="s">
        <v>9</v>
      </c>
      <c r="C13" s="11" t="s">
        <v>89</v>
      </c>
      <c r="D13" s="66" t="s">
        <v>125</v>
      </c>
      <c r="E13" s="67" t="s">
        <v>101</v>
      </c>
      <c r="F13" s="6">
        <v>2027</v>
      </c>
      <c r="G13" s="6">
        <v>2028</v>
      </c>
      <c r="H13" s="6">
        <v>2029</v>
      </c>
      <c r="I13" s="6">
        <v>2030</v>
      </c>
      <c r="J13" s="6">
        <v>2031</v>
      </c>
      <c r="K13" s="6">
        <v>2032</v>
      </c>
      <c r="L13" s="6">
        <v>2033</v>
      </c>
      <c r="M13" s="6">
        <v>2034</v>
      </c>
      <c r="N13" s="6">
        <v>2035</v>
      </c>
    </row>
    <row r="14" spans="2:20" x14ac:dyDescent="0.2">
      <c r="B14" s="8" t="s">
        <v>1</v>
      </c>
      <c r="C14" s="4">
        <v>0</v>
      </c>
      <c r="D14" s="4">
        <v>0</v>
      </c>
      <c r="E14" s="18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</row>
    <row r="16" spans="2:20" ht="15" x14ac:dyDescent="0.25"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6:21" ht="15" x14ac:dyDescent="0.25"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6:21" ht="15" x14ac:dyDescent="0.25"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6:21" ht="15" x14ac:dyDescent="0.25"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6:21" ht="15" x14ac:dyDescent="0.25"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6:21" ht="15" x14ac:dyDescent="0.25"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6:21" ht="15" x14ac:dyDescent="0.25"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6:21" ht="15" x14ac:dyDescent="0.25"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6:21" ht="15" x14ac:dyDescent="0.25"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6:21" ht="15" x14ac:dyDescent="0.25"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6:21" ht="15" x14ac:dyDescent="0.25"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6:21" ht="15" x14ac:dyDescent="0.25"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6:21" ht="15" x14ac:dyDescent="0.25"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</row>
    <row r="29" spans="6:21" ht="15" x14ac:dyDescent="0.25"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6:21" ht="15" x14ac:dyDescent="0.25"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6:21" ht="15" x14ac:dyDescent="0.25"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6:21" ht="15" x14ac:dyDescent="0.25"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6:21" ht="15" x14ac:dyDescent="0.25"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6:21" ht="15" x14ac:dyDescent="0.25"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6:21" ht="15" x14ac:dyDescent="0.25"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6:21" ht="15" x14ac:dyDescent="0.25"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6:21" ht="15" x14ac:dyDescent="0.25"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6:21" ht="15" x14ac:dyDescent="0.25"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6:21" ht="15" x14ac:dyDescent="0.25"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6:21" ht="15" x14ac:dyDescent="0.25"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6:21" ht="15" x14ac:dyDescent="0.25"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6:21" ht="15" x14ac:dyDescent="0.25"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6:21" ht="15" x14ac:dyDescent="0.25"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6:21" ht="15" x14ac:dyDescent="0.25"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6:21" ht="15" x14ac:dyDescent="0.25"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6:21" ht="15" x14ac:dyDescent="0.25"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6:21" ht="15" x14ac:dyDescent="0.25"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6:21" ht="15" x14ac:dyDescent="0.25"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  <row r="49" spans="6:20" ht="15" x14ac:dyDescent="0.25"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6:20" ht="15" x14ac:dyDescent="0.25"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6:20" ht="15" x14ac:dyDescent="0.25"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6:20" ht="15" x14ac:dyDescent="0.25"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6:20" ht="15" x14ac:dyDescent="0.25"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6:20" ht="15" x14ac:dyDescent="0.25"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6:20" ht="15" x14ac:dyDescent="0.25"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</row>
    <row r="56" spans="6:20" ht="15" x14ac:dyDescent="0.25"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</row>
    <row r="57" spans="6:20" ht="15" x14ac:dyDescent="0.25"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6:20" ht="15" x14ac:dyDescent="0.25"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6:20" ht="15" x14ac:dyDescent="0.25"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6:20" ht="15" x14ac:dyDescent="0.25"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6:20" ht="15" x14ac:dyDescent="0.25"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6:20" ht="15" x14ac:dyDescent="0.25"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6:20" ht="15" x14ac:dyDescent="0.25"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6:20" ht="15" x14ac:dyDescent="0.25"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6:20" ht="15" x14ac:dyDescent="0.25"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6:20" ht="15" x14ac:dyDescent="0.25"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6:20" ht="15" x14ac:dyDescent="0.25"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6:20" ht="15" x14ac:dyDescent="0.25"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6:20" ht="15" x14ac:dyDescent="0.25"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6:20" ht="15" x14ac:dyDescent="0.25"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6:20" ht="15" x14ac:dyDescent="0.25"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</sheetData>
  <mergeCells count="2">
    <mergeCell ref="C2:D2"/>
    <mergeCell ref="E2:N2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Свод</vt:lpstr>
      <vt:lpstr>Исходные данные&gt;&gt;</vt:lpstr>
      <vt:lpstr>Исходные данные</vt:lpstr>
      <vt:lpstr>Количество сжигаемого газа</vt:lpstr>
      <vt:lpstr>Расчет эффективности топлива</vt:lpstr>
      <vt:lpstr>Коэффициенты&gt;&gt;</vt:lpstr>
      <vt:lpstr>Природный газ</vt:lpstr>
      <vt:lpstr>Расчетные модели&gt;&gt;</vt:lpstr>
      <vt:lpstr>Расчетная модель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</dc:creator>
  <cp:lastModifiedBy>Михаил</cp:lastModifiedBy>
  <dcterms:created xsi:type="dcterms:W3CDTF">2024-12-09T17:07:01Z</dcterms:created>
  <dcterms:modified xsi:type="dcterms:W3CDTF">2026-06-17T13:51:01Z</dcterms:modified>
</cp:coreProperties>
</file>